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ydział_KK.04\Sprawozdania 2023 Wydział Księgowości\SF_UM_2023\SF_UM_2023_W2_publ\"/>
    </mc:Choice>
  </mc:AlternateContent>
  <bookViews>
    <workbookView xWindow="0" yWindow="0" windowWidth="28800" windowHeight="11700" activeTab="2"/>
  </bookViews>
  <sheets>
    <sheet name="Bilans 31.12.2023" sheetId="2" r:id="rId1"/>
    <sheet name="RZiS 31.12.2023" sheetId="3" r:id="rId2"/>
    <sheet name="ZZwFJ 31.12.2023" sheetId="4" r:id="rId3"/>
    <sheet name="II.Dodatk_info" sheetId="6" r:id="rId4"/>
    <sheet name="Arkusz1" sheetId="1" r:id="rId5"/>
  </sheets>
  <externalReferences>
    <externalReference r:id="rId6"/>
  </externalReferences>
  <definedNames>
    <definedName name="_xlnm.Print_Area" localSheetId="0">'Bilans 31.12.2023'!$A$1:$F$61</definedName>
    <definedName name="_xlnm.Print_Area" localSheetId="1">'RZiS 31.12.2023'!$A$1:$D$51</definedName>
    <definedName name="_xlnm.Print_Area" localSheetId="2">'ZZwFJ 31.12.2023'!$A$1:$D$47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69" i="6" l="1"/>
  <c r="C669" i="6"/>
  <c r="F660" i="6"/>
  <c r="E660" i="6"/>
  <c r="D660" i="6"/>
  <c r="C660" i="6"/>
  <c r="F659" i="6"/>
  <c r="E659" i="6"/>
  <c r="D659" i="6"/>
  <c r="F658" i="6"/>
  <c r="E658" i="6"/>
  <c r="C658" i="6"/>
  <c r="F657" i="6"/>
  <c r="E657" i="6"/>
  <c r="D657" i="6"/>
  <c r="F656" i="6"/>
  <c r="E656" i="6"/>
  <c r="D656" i="6"/>
  <c r="C656" i="6"/>
  <c r="F655" i="6"/>
  <c r="E655" i="6"/>
  <c r="C655" i="6"/>
  <c r="F654" i="6"/>
  <c r="E654" i="6"/>
  <c r="D654" i="6"/>
  <c r="C654" i="6"/>
  <c r="F653" i="6"/>
  <c r="E653" i="6"/>
  <c r="D653" i="6"/>
  <c r="C653" i="6"/>
  <c r="F652" i="6"/>
  <c r="E652" i="6"/>
  <c r="D652" i="6"/>
  <c r="C652" i="6"/>
  <c r="F651" i="6"/>
  <c r="E651" i="6"/>
  <c r="D651" i="6"/>
  <c r="C651" i="6"/>
  <c r="F650" i="6"/>
  <c r="E650" i="6"/>
  <c r="D650" i="6"/>
  <c r="C650" i="6"/>
  <c r="F649" i="6"/>
  <c r="E649" i="6"/>
  <c r="D649" i="6"/>
  <c r="C649" i="6"/>
  <c r="F648" i="6"/>
  <c r="E648" i="6"/>
  <c r="D648" i="6"/>
  <c r="C648" i="6"/>
  <c r="F647" i="6"/>
  <c r="E647" i="6"/>
  <c r="D647" i="6"/>
  <c r="C647" i="6"/>
  <c r="F646" i="6"/>
  <c r="E646" i="6"/>
  <c r="D646" i="6"/>
  <c r="C646" i="6"/>
  <c r="F645" i="6"/>
  <c r="E645" i="6"/>
  <c r="D645" i="6"/>
  <c r="C645" i="6"/>
  <c r="F644" i="6"/>
  <c r="E644" i="6"/>
  <c r="E636" i="6" s="1"/>
  <c r="E661" i="6" s="1"/>
  <c r="D644" i="6"/>
  <c r="F643" i="6"/>
  <c r="E643" i="6"/>
  <c r="D643" i="6"/>
  <c r="C643" i="6"/>
  <c r="F642" i="6"/>
  <c r="E642" i="6"/>
  <c r="D642" i="6"/>
  <c r="C642" i="6"/>
  <c r="F641" i="6"/>
  <c r="E641" i="6"/>
  <c r="D641" i="6"/>
  <c r="C641" i="6"/>
  <c r="F640" i="6"/>
  <c r="E640" i="6"/>
  <c r="D640" i="6"/>
  <c r="C640" i="6"/>
  <c r="F639" i="6"/>
  <c r="E639" i="6"/>
  <c r="C639" i="6"/>
  <c r="F638" i="6"/>
  <c r="D638" i="6"/>
  <c r="C638" i="6"/>
  <c r="F637" i="6"/>
  <c r="F636" i="6" s="1"/>
  <c r="F661" i="6" s="1"/>
  <c r="E637" i="6"/>
  <c r="D637" i="6"/>
  <c r="D636" i="6" s="1"/>
  <c r="D661" i="6" s="1"/>
  <c r="C636" i="6"/>
  <c r="C661" i="6" s="1"/>
  <c r="F625" i="6"/>
  <c r="E625" i="6"/>
  <c r="F624" i="6"/>
  <c r="E624" i="6"/>
  <c r="F623" i="6"/>
  <c r="E623" i="6"/>
  <c r="F622" i="6"/>
  <c r="E622" i="6"/>
  <c r="F621" i="6"/>
  <c r="E621" i="6"/>
  <c r="F620" i="6"/>
  <c r="E620" i="6"/>
  <c r="F619" i="6"/>
  <c r="E619" i="6"/>
  <c r="F618" i="6"/>
  <c r="E618" i="6"/>
  <c r="F617" i="6"/>
  <c r="E617" i="6"/>
  <c r="F616" i="6"/>
  <c r="F626" i="6" s="1"/>
  <c r="E616" i="6"/>
  <c r="E626" i="6" s="1"/>
  <c r="F609" i="6"/>
  <c r="E609" i="6"/>
  <c r="F608" i="6"/>
  <c r="E608" i="6"/>
  <c r="F607" i="6"/>
  <c r="E607" i="6"/>
  <c r="F606" i="6"/>
  <c r="E606" i="6"/>
  <c r="F605" i="6"/>
  <c r="E605" i="6"/>
  <c r="F604" i="6"/>
  <c r="E604" i="6"/>
  <c r="F603" i="6"/>
  <c r="E603" i="6"/>
  <c r="F602" i="6"/>
  <c r="E602" i="6"/>
  <c r="F601" i="6"/>
  <c r="E601" i="6"/>
  <c r="F600" i="6"/>
  <c r="E600" i="6"/>
  <c r="F599" i="6"/>
  <c r="E599" i="6"/>
  <c r="F598" i="6"/>
  <c r="F610" i="6" s="1"/>
  <c r="E598" i="6"/>
  <c r="E610" i="6" s="1"/>
  <c r="F589" i="6"/>
  <c r="E589" i="6"/>
  <c r="F588" i="6"/>
  <c r="E588" i="6"/>
  <c r="F587" i="6"/>
  <c r="E587" i="6"/>
  <c r="F586" i="6"/>
  <c r="E586" i="6"/>
  <c r="F585" i="6"/>
  <c r="E585" i="6"/>
  <c r="F584" i="6"/>
  <c r="E584" i="6"/>
  <c r="F583" i="6"/>
  <c r="E583" i="6"/>
  <c r="F582" i="6"/>
  <c r="E582" i="6"/>
  <c r="F581" i="6"/>
  <c r="E581" i="6"/>
  <c r="F580" i="6"/>
  <c r="E580" i="6"/>
  <c r="F579" i="6"/>
  <c r="E579" i="6"/>
  <c r="F578" i="6"/>
  <c r="F590" i="6" s="1"/>
  <c r="E578" i="6"/>
  <c r="E590" i="6" s="1"/>
  <c r="F569" i="6"/>
  <c r="E569" i="6"/>
  <c r="F568" i="6"/>
  <c r="E568" i="6"/>
  <c r="F567" i="6"/>
  <c r="E567" i="6"/>
  <c r="F566" i="6"/>
  <c r="E566" i="6"/>
  <c r="F565" i="6"/>
  <c r="E565" i="6"/>
  <c r="F564" i="6"/>
  <c r="E564" i="6"/>
  <c r="F563" i="6"/>
  <c r="E563" i="6"/>
  <c r="F562" i="6"/>
  <c r="E562" i="6"/>
  <c r="F561" i="6"/>
  <c r="E561" i="6"/>
  <c r="F560" i="6"/>
  <c r="E560" i="6"/>
  <c r="F559" i="6"/>
  <c r="E559" i="6"/>
  <c r="F558" i="6"/>
  <c r="E558" i="6"/>
  <c r="F557" i="6"/>
  <c r="E557" i="6"/>
  <c r="F556" i="6"/>
  <c r="E556" i="6"/>
  <c r="F555" i="6"/>
  <c r="E555" i="6"/>
  <c r="F554" i="6"/>
  <c r="F570" i="6" s="1"/>
  <c r="E554" i="6"/>
  <c r="E570" i="6" s="1"/>
  <c r="D545" i="6"/>
  <c r="C545" i="6"/>
  <c r="D544" i="6"/>
  <c r="C544" i="6"/>
  <c r="D543" i="6"/>
  <c r="C543" i="6"/>
  <c r="D542" i="6"/>
  <c r="C542" i="6"/>
  <c r="D541" i="6"/>
  <c r="C541" i="6"/>
  <c r="D540" i="6"/>
  <c r="C540" i="6"/>
  <c r="D539" i="6"/>
  <c r="C539" i="6"/>
  <c r="D538" i="6"/>
  <c r="C538" i="6"/>
  <c r="D537" i="6"/>
  <c r="C537" i="6"/>
  <c r="D536" i="6"/>
  <c r="D546" i="6" s="1"/>
  <c r="C536" i="6"/>
  <c r="C546" i="6" s="1"/>
  <c r="F526" i="6"/>
  <c r="E526" i="6"/>
  <c r="F525" i="6"/>
  <c r="E525" i="6"/>
  <c r="F524" i="6"/>
  <c r="E524" i="6"/>
  <c r="F523" i="6"/>
  <c r="E523" i="6"/>
  <c r="F522" i="6"/>
  <c r="E522" i="6"/>
  <c r="F521" i="6"/>
  <c r="E521" i="6"/>
  <c r="F514" i="6"/>
  <c r="E514" i="6"/>
  <c r="F513" i="6"/>
  <c r="E513" i="6"/>
  <c r="F512" i="6"/>
  <c r="E512" i="6"/>
  <c r="F511" i="6"/>
  <c r="E511" i="6"/>
  <c r="F510" i="6"/>
  <c r="E510" i="6"/>
  <c r="F509" i="6"/>
  <c r="E509" i="6"/>
  <c r="F508" i="6"/>
  <c r="E508" i="6"/>
  <c r="F507" i="6"/>
  <c r="E507" i="6"/>
  <c r="F506" i="6"/>
  <c r="E506" i="6"/>
  <c r="F505" i="6"/>
  <c r="E505" i="6"/>
  <c r="F504" i="6"/>
  <c r="E504" i="6"/>
  <c r="F503" i="6"/>
  <c r="E503" i="6"/>
  <c r="F502" i="6"/>
  <c r="E502" i="6"/>
  <c r="F501" i="6"/>
  <c r="E501" i="6"/>
  <c r="F500" i="6"/>
  <c r="E500" i="6"/>
  <c r="F499" i="6"/>
  <c r="E499" i="6"/>
  <c r="F498" i="6"/>
  <c r="E498" i="6"/>
  <c r="F496" i="6"/>
  <c r="E496" i="6"/>
  <c r="F495" i="6"/>
  <c r="E495" i="6"/>
  <c r="F494" i="6"/>
  <c r="E494" i="6"/>
  <c r="F493" i="6"/>
  <c r="E493" i="6"/>
  <c r="F492" i="6"/>
  <c r="E492" i="6"/>
  <c r="F491" i="6"/>
  <c r="E491" i="6"/>
  <c r="F490" i="6"/>
  <c r="E490" i="6"/>
  <c r="F489" i="6"/>
  <c r="E489" i="6"/>
  <c r="F488" i="6"/>
  <c r="E488" i="6"/>
  <c r="F487" i="6"/>
  <c r="E487" i="6"/>
  <c r="F486" i="6"/>
  <c r="E486" i="6"/>
  <c r="F485" i="6"/>
  <c r="E485" i="6"/>
  <c r="F484" i="6"/>
  <c r="E484" i="6"/>
  <c r="F483" i="6"/>
  <c r="E483" i="6"/>
  <c r="F482" i="6"/>
  <c r="E482" i="6"/>
  <c r="F481" i="6"/>
  <c r="E481" i="6"/>
  <c r="F480" i="6"/>
  <c r="E480" i="6"/>
  <c r="F479" i="6"/>
  <c r="E479" i="6"/>
  <c r="F478" i="6"/>
  <c r="F527" i="6" s="1"/>
  <c r="E478" i="6"/>
  <c r="E527" i="6" s="1"/>
  <c r="E466" i="6"/>
  <c r="D466" i="6"/>
  <c r="E465" i="6"/>
  <c r="D465" i="6"/>
  <c r="E464" i="6"/>
  <c r="D464" i="6"/>
  <c r="E463" i="6"/>
  <c r="D463" i="6"/>
  <c r="E462" i="6"/>
  <c r="D462" i="6"/>
  <c r="E461" i="6"/>
  <c r="D461" i="6"/>
  <c r="E460" i="6"/>
  <c r="D460" i="6"/>
  <c r="E459" i="6"/>
  <c r="D459" i="6"/>
  <c r="E458" i="6"/>
  <c r="D458" i="6"/>
  <c r="E457" i="6"/>
  <c r="D457" i="6"/>
  <c r="E456" i="6"/>
  <c r="D456" i="6"/>
  <c r="E455" i="6"/>
  <c r="D455" i="6"/>
  <c r="D420" i="6"/>
  <c r="C420" i="6"/>
  <c r="D419" i="6"/>
  <c r="C419" i="6"/>
  <c r="D418" i="6"/>
  <c r="C418" i="6"/>
  <c r="D417" i="6"/>
  <c r="C417" i="6"/>
  <c r="D416" i="6"/>
  <c r="C416" i="6"/>
  <c r="D415" i="6"/>
  <c r="C415" i="6"/>
  <c r="D414" i="6"/>
  <c r="C414" i="6"/>
  <c r="D413" i="6"/>
  <c r="C413" i="6"/>
  <c r="D412" i="6"/>
  <c r="C412" i="6"/>
  <c r="D411" i="6"/>
  <c r="C411" i="6"/>
  <c r="D410" i="6"/>
  <c r="C410" i="6"/>
  <c r="D409" i="6"/>
  <c r="D421" i="6" s="1"/>
  <c r="C409" i="6"/>
  <c r="C421" i="6" s="1"/>
  <c r="H399" i="6"/>
  <c r="G399" i="6"/>
  <c r="F399" i="6"/>
  <c r="E399" i="6"/>
  <c r="D399" i="6"/>
  <c r="C399" i="6"/>
  <c r="B399" i="6"/>
  <c r="I399" i="6" s="1"/>
  <c r="H398" i="6"/>
  <c r="G398" i="6"/>
  <c r="F398" i="6"/>
  <c r="E398" i="6"/>
  <c r="D398" i="6"/>
  <c r="C398" i="6"/>
  <c r="B398" i="6"/>
  <c r="I398" i="6" s="1"/>
  <c r="H397" i="6"/>
  <c r="H400" i="6" s="1"/>
  <c r="G397" i="6"/>
  <c r="G400" i="6" s="1"/>
  <c r="F397" i="6"/>
  <c r="F400" i="6" s="1"/>
  <c r="E397" i="6"/>
  <c r="E400" i="6" s="1"/>
  <c r="D397" i="6"/>
  <c r="D400" i="6" s="1"/>
  <c r="C397" i="6"/>
  <c r="C400" i="6" s="1"/>
  <c r="B397" i="6"/>
  <c r="I397" i="6" s="1"/>
  <c r="I400" i="6" s="1"/>
  <c r="H395" i="6"/>
  <c r="G395" i="6"/>
  <c r="F395" i="6"/>
  <c r="E395" i="6"/>
  <c r="D395" i="6"/>
  <c r="C395" i="6"/>
  <c r="B395" i="6"/>
  <c r="I395" i="6" s="1"/>
  <c r="H394" i="6"/>
  <c r="G394" i="6"/>
  <c r="F394" i="6"/>
  <c r="E394" i="6"/>
  <c r="D394" i="6"/>
  <c r="C394" i="6"/>
  <c r="B394" i="6"/>
  <c r="I394" i="6" s="1"/>
  <c r="H393" i="6"/>
  <c r="G393" i="6"/>
  <c r="F393" i="6"/>
  <c r="E393" i="6"/>
  <c r="D393" i="6"/>
  <c r="C393" i="6"/>
  <c r="B393" i="6"/>
  <c r="I393" i="6" s="1"/>
  <c r="H392" i="6"/>
  <c r="H391" i="6" s="1"/>
  <c r="G392" i="6"/>
  <c r="F392" i="6"/>
  <c r="F391" i="6" s="1"/>
  <c r="E392" i="6"/>
  <c r="D392" i="6"/>
  <c r="D391" i="6" s="1"/>
  <c r="C392" i="6"/>
  <c r="B392" i="6"/>
  <c r="I392" i="6" s="1"/>
  <c r="I391" i="6" s="1"/>
  <c r="G391" i="6"/>
  <c r="E391" i="6"/>
  <c r="C391" i="6"/>
  <c r="H390" i="6"/>
  <c r="G390" i="6"/>
  <c r="F390" i="6"/>
  <c r="E390" i="6"/>
  <c r="D390" i="6"/>
  <c r="C390" i="6"/>
  <c r="B390" i="6"/>
  <c r="I390" i="6" s="1"/>
  <c r="H389" i="6"/>
  <c r="G389" i="6"/>
  <c r="F389" i="6"/>
  <c r="E389" i="6"/>
  <c r="D389" i="6"/>
  <c r="C389" i="6"/>
  <c r="B389" i="6"/>
  <c r="I389" i="6" s="1"/>
  <c r="H388" i="6"/>
  <c r="H387" i="6" s="1"/>
  <c r="G388" i="6"/>
  <c r="F388" i="6"/>
  <c r="F387" i="6" s="1"/>
  <c r="E388" i="6"/>
  <c r="D388" i="6"/>
  <c r="D387" i="6" s="1"/>
  <c r="C388" i="6"/>
  <c r="B388" i="6"/>
  <c r="I388" i="6" s="1"/>
  <c r="I387" i="6" s="1"/>
  <c r="G387" i="6"/>
  <c r="E387" i="6"/>
  <c r="C387" i="6"/>
  <c r="H386" i="6"/>
  <c r="H396" i="6" s="1"/>
  <c r="H402" i="6" s="1"/>
  <c r="G386" i="6"/>
  <c r="G401" i="6" s="1"/>
  <c r="F386" i="6"/>
  <c r="F401" i="6" s="1"/>
  <c r="E386" i="6"/>
  <c r="E401" i="6" s="1"/>
  <c r="D386" i="6"/>
  <c r="D396" i="6" s="1"/>
  <c r="D402" i="6" s="1"/>
  <c r="C386" i="6"/>
  <c r="C401" i="6" s="1"/>
  <c r="B386" i="6"/>
  <c r="I386" i="6" s="1"/>
  <c r="D370" i="6"/>
  <c r="C370" i="6"/>
  <c r="D363" i="6"/>
  <c r="D364" i="6" s="1"/>
  <c r="C363" i="6"/>
  <c r="C364" i="6" s="1"/>
  <c r="D356" i="6"/>
  <c r="C356" i="6"/>
  <c r="D355" i="6"/>
  <c r="C355" i="6"/>
  <c r="D354" i="6"/>
  <c r="C354" i="6"/>
  <c r="D353" i="6"/>
  <c r="C353" i="6"/>
  <c r="D352" i="6"/>
  <c r="C352" i="6"/>
  <c r="D351" i="6"/>
  <c r="C351" i="6"/>
  <c r="D350" i="6"/>
  <c r="C350" i="6"/>
  <c r="D349" i="6"/>
  <c r="C349" i="6"/>
  <c r="D348" i="6"/>
  <c r="C348" i="6"/>
  <c r="D347" i="6"/>
  <c r="C347" i="6"/>
  <c r="D346" i="6"/>
  <c r="C346" i="6"/>
  <c r="D345" i="6"/>
  <c r="C345" i="6"/>
  <c r="D344" i="6"/>
  <c r="D357" i="6" s="1"/>
  <c r="C344" i="6"/>
  <c r="C357" i="6" s="1"/>
  <c r="D330" i="6"/>
  <c r="C330" i="6"/>
  <c r="D329" i="6"/>
  <c r="C329" i="6"/>
  <c r="D328" i="6"/>
  <c r="C328" i="6"/>
  <c r="D327" i="6"/>
  <c r="C327" i="6"/>
  <c r="D326" i="6"/>
  <c r="C326" i="6"/>
  <c r="D325" i="6"/>
  <c r="C325" i="6"/>
  <c r="D324" i="6"/>
  <c r="C324" i="6"/>
  <c r="D323" i="6"/>
  <c r="C323" i="6"/>
  <c r="D322" i="6"/>
  <c r="C322" i="6"/>
  <c r="D321" i="6"/>
  <c r="C321" i="6"/>
  <c r="D320" i="6"/>
  <c r="C320" i="6"/>
  <c r="D319" i="6"/>
  <c r="C319" i="6"/>
  <c r="D318" i="6"/>
  <c r="C318" i="6"/>
  <c r="D317" i="6"/>
  <c r="C317" i="6"/>
  <c r="D316" i="6"/>
  <c r="C316" i="6"/>
  <c r="D315" i="6"/>
  <c r="C315" i="6"/>
  <c r="D314" i="6"/>
  <c r="C314" i="6"/>
  <c r="D313" i="6"/>
  <c r="C313" i="6"/>
  <c r="D312" i="6"/>
  <c r="C312" i="6"/>
  <c r="D311" i="6"/>
  <c r="C311" i="6"/>
  <c r="D310" i="6"/>
  <c r="C310" i="6"/>
  <c r="D309" i="6"/>
  <c r="D331" i="6" s="1"/>
  <c r="C309" i="6"/>
  <c r="C331" i="6" s="1"/>
  <c r="D301" i="6"/>
  <c r="C301" i="6"/>
  <c r="D300" i="6"/>
  <c r="C300" i="6"/>
  <c r="D299" i="6"/>
  <c r="C299" i="6"/>
  <c r="D298" i="6"/>
  <c r="C298" i="6"/>
  <c r="D297" i="6"/>
  <c r="C297" i="6"/>
  <c r="D296" i="6"/>
  <c r="C296" i="6"/>
  <c r="D295" i="6"/>
  <c r="C295" i="6"/>
  <c r="D294" i="6"/>
  <c r="C294" i="6"/>
  <c r="D293" i="6"/>
  <c r="C293" i="6"/>
  <c r="D292" i="6"/>
  <c r="D302" i="6" s="1"/>
  <c r="C292" i="6"/>
  <c r="C302" i="6" s="1"/>
  <c r="D285" i="6"/>
  <c r="C285" i="6"/>
  <c r="D284" i="6"/>
  <c r="C284" i="6"/>
  <c r="D283" i="6"/>
  <c r="C283" i="6"/>
  <c r="D282" i="6"/>
  <c r="C282" i="6"/>
  <c r="D281" i="6"/>
  <c r="C281" i="6"/>
  <c r="D280" i="6"/>
  <c r="C280" i="6"/>
  <c r="D279" i="6"/>
  <c r="C279" i="6"/>
  <c r="D278" i="6"/>
  <c r="C278" i="6"/>
  <c r="D277" i="6"/>
  <c r="D286" i="6" s="1"/>
  <c r="C277" i="6"/>
  <c r="C286" i="6" s="1"/>
  <c r="D252" i="6"/>
  <c r="C252" i="6"/>
  <c r="D251" i="6"/>
  <c r="C251" i="6"/>
  <c r="D250" i="6"/>
  <c r="C250" i="6"/>
  <c r="D249" i="6"/>
  <c r="C249" i="6"/>
  <c r="D248" i="6"/>
  <c r="C248" i="6"/>
  <c r="D247" i="6"/>
  <c r="C247" i="6"/>
  <c r="D246" i="6"/>
  <c r="C246" i="6"/>
  <c r="D245" i="6"/>
  <c r="C245" i="6"/>
  <c r="D244" i="6"/>
  <c r="C244" i="6"/>
  <c r="D243" i="6"/>
  <c r="C243" i="6"/>
  <c r="D242" i="6"/>
  <c r="C242" i="6"/>
  <c r="D241" i="6"/>
  <c r="D253" i="6" s="1"/>
  <c r="C241" i="6"/>
  <c r="C253" i="6" s="1"/>
  <c r="G233" i="6"/>
  <c r="F233" i="6"/>
  <c r="E233" i="6"/>
  <c r="D233" i="6"/>
  <c r="H233" i="6" s="1"/>
  <c r="G232" i="6"/>
  <c r="F232" i="6"/>
  <c r="E232" i="6"/>
  <c r="D232" i="6"/>
  <c r="G231" i="6"/>
  <c r="F231" i="6"/>
  <c r="E231" i="6"/>
  <c r="D231" i="6"/>
  <c r="H231" i="6" s="1"/>
  <c r="G230" i="6"/>
  <c r="F230" i="6"/>
  <c r="E230" i="6"/>
  <c r="D230" i="6"/>
  <c r="H230" i="6" s="1"/>
  <c r="G229" i="6"/>
  <c r="F229" i="6"/>
  <c r="E229" i="6"/>
  <c r="D229" i="6"/>
  <c r="H229" i="6" s="1"/>
  <c r="G228" i="6"/>
  <c r="F228" i="6"/>
  <c r="E228" i="6"/>
  <c r="D228" i="6"/>
  <c r="G227" i="6"/>
  <c r="F227" i="6"/>
  <c r="E227" i="6"/>
  <c r="D227" i="6"/>
  <c r="H227" i="6" s="1"/>
  <c r="G226" i="6"/>
  <c r="F226" i="6"/>
  <c r="E226" i="6"/>
  <c r="D226" i="6"/>
  <c r="H226" i="6" s="1"/>
  <c r="G225" i="6"/>
  <c r="F225" i="6"/>
  <c r="E225" i="6"/>
  <c r="D225" i="6"/>
  <c r="H225" i="6" s="1"/>
  <c r="G224" i="6"/>
  <c r="G234" i="6" s="1"/>
  <c r="F224" i="6"/>
  <c r="E224" i="6"/>
  <c r="E234" i="6" s="1"/>
  <c r="D224" i="6"/>
  <c r="G217" i="6"/>
  <c r="E217" i="6"/>
  <c r="H216" i="6"/>
  <c r="G216" i="6"/>
  <c r="F216" i="6"/>
  <c r="E216" i="6"/>
  <c r="I216" i="6" s="1"/>
  <c r="H215" i="6"/>
  <c r="G215" i="6"/>
  <c r="F215" i="6"/>
  <c r="E215" i="6"/>
  <c r="I215" i="6" s="1"/>
  <c r="H214" i="6"/>
  <c r="G214" i="6"/>
  <c r="F214" i="6"/>
  <c r="E214" i="6"/>
  <c r="H213" i="6"/>
  <c r="G213" i="6"/>
  <c r="F213" i="6"/>
  <c r="E213" i="6"/>
  <c r="I213" i="6" s="1"/>
  <c r="H212" i="6"/>
  <c r="G212" i="6"/>
  <c r="F212" i="6"/>
  <c r="E212" i="6"/>
  <c r="I212" i="6" s="1"/>
  <c r="G203" i="6"/>
  <c r="G202" i="6"/>
  <c r="F202" i="6"/>
  <c r="E202" i="6"/>
  <c r="D202" i="6"/>
  <c r="C202" i="6"/>
  <c r="I201" i="6"/>
  <c r="H201" i="6"/>
  <c r="G201" i="6"/>
  <c r="F201" i="6"/>
  <c r="E201" i="6"/>
  <c r="D201" i="6"/>
  <c r="C201" i="6"/>
  <c r="G200" i="6"/>
  <c r="F200" i="6"/>
  <c r="E200" i="6"/>
  <c r="D200" i="6"/>
  <c r="C200" i="6"/>
  <c r="I199" i="6"/>
  <c r="H199" i="6"/>
  <c r="G199" i="6"/>
  <c r="F199" i="6"/>
  <c r="E199" i="6"/>
  <c r="D199" i="6"/>
  <c r="C199" i="6"/>
  <c r="I198" i="6"/>
  <c r="H198" i="6"/>
  <c r="G198" i="6"/>
  <c r="F198" i="6"/>
  <c r="E198" i="6"/>
  <c r="D198" i="6"/>
  <c r="C198" i="6"/>
  <c r="I197" i="6"/>
  <c r="H197" i="6"/>
  <c r="G197" i="6"/>
  <c r="F197" i="6"/>
  <c r="E197" i="6"/>
  <c r="D197" i="6"/>
  <c r="C197" i="6"/>
  <c r="I196" i="6"/>
  <c r="H196" i="6"/>
  <c r="G196" i="6"/>
  <c r="F196" i="6"/>
  <c r="E196" i="6"/>
  <c r="D196" i="6"/>
  <c r="C196" i="6"/>
  <c r="I195" i="6"/>
  <c r="H195" i="6"/>
  <c r="G195" i="6"/>
  <c r="F195" i="6"/>
  <c r="E195" i="6"/>
  <c r="D195" i="6"/>
  <c r="C195" i="6"/>
  <c r="I194" i="6"/>
  <c r="H194" i="6"/>
  <c r="G194" i="6"/>
  <c r="F194" i="6"/>
  <c r="E194" i="6"/>
  <c r="D194" i="6"/>
  <c r="C194" i="6"/>
  <c r="I193" i="6"/>
  <c r="H193" i="6"/>
  <c r="G193" i="6"/>
  <c r="F193" i="6"/>
  <c r="E193" i="6"/>
  <c r="D193" i="6"/>
  <c r="C193" i="6"/>
  <c r="I192" i="6"/>
  <c r="H192" i="6"/>
  <c r="G192" i="6"/>
  <c r="F192" i="6"/>
  <c r="E192" i="6"/>
  <c r="D192" i="6"/>
  <c r="C192" i="6"/>
  <c r="I191" i="6"/>
  <c r="H191" i="6"/>
  <c r="G191" i="6"/>
  <c r="F191" i="6"/>
  <c r="E191" i="6"/>
  <c r="D191" i="6"/>
  <c r="C191" i="6"/>
  <c r="I190" i="6"/>
  <c r="H190" i="6"/>
  <c r="G190" i="6"/>
  <c r="F190" i="6"/>
  <c r="E190" i="6"/>
  <c r="D190" i="6"/>
  <c r="C190" i="6"/>
  <c r="I189" i="6"/>
  <c r="H189" i="6"/>
  <c r="G189" i="6"/>
  <c r="F189" i="6"/>
  <c r="E189" i="6"/>
  <c r="D189" i="6"/>
  <c r="C189" i="6"/>
  <c r="I188" i="6"/>
  <c r="H188" i="6"/>
  <c r="G188" i="6"/>
  <c r="F188" i="6"/>
  <c r="E188" i="6"/>
  <c r="D188" i="6"/>
  <c r="C188" i="6"/>
  <c r="I187" i="6"/>
  <c r="H187" i="6"/>
  <c r="G187" i="6"/>
  <c r="F187" i="6"/>
  <c r="E187" i="6"/>
  <c r="D187" i="6"/>
  <c r="C187" i="6"/>
  <c r="I186" i="6"/>
  <c r="H186" i="6"/>
  <c r="G186" i="6"/>
  <c r="F186" i="6"/>
  <c r="E186" i="6"/>
  <c r="D186" i="6"/>
  <c r="C186" i="6"/>
  <c r="I185" i="6"/>
  <c r="H185" i="6"/>
  <c r="G185" i="6"/>
  <c r="F185" i="6"/>
  <c r="E185" i="6"/>
  <c r="D185" i="6"/>
  <c r="C185" i="6"/>
  <c r="I184" i="6"/>
  <c r="H184" i="6"/>
  <c r="G184" i="6"/>
  <c r="F184" i="6"/>
  <c r="E184" i="6"/>
  <c r="D184" i="6"/>
  <c r="C184" i="6"/>
  <c r="I183" i="6"/>
  <c r="H183" i="6"/>
  <c r="G183" i="6"/>
  <c r="F183" i="6"/>
  <c r="E183" i="6"/>
  <c r="D183" i="6"/>
  <c r="C183" i="6"/>
  <c r="I182" i="6"/>
  <c r="H182" i="6"/>
  <c r="G182" i="6"/>
  <c r="F182" i="6"/>
  <c r="E182" i="6"/>
  <c r="D182" i="6"/>
  <c r="C182" i="6"/>
  <c r="I181" i="6"/>
  <c r="H181" i="6"/>
  <c r="G181" i="6"/>
  <c r="F181" i="6"/>
  <c r="E181" i="6"/>
  <c r="D181" i="6"/>
  <c r="C181" i="6"/>
  <c r="I180" i="6"/>
  <c r="H180" i="6"/>
  <c r="G180" i="6"/>
  <c r="F180" i="6"/>
  <c r="E180" i="6"/>
  <c r="D180" i="6"/>
  <c r="C180" i="6"/>
  <c r="I179" i="6"/>
  <c r="H179" i="6"/>
  <c r="G179" i="6"/>
  <c r="F179" i="6"/>
  <c r="E179" i="6"/>
  <c r="D179" i="6"/>
  <c r="C179" i="6"/>
  <c r="I178" i="6"/>
  <c r="H178" i="6"/>
  <c r="G178" i="6"/>
  <c r="F178" i="6"/>
  <c r="E178" i="6"/>
  <c r="D178" i="6"/>
  <c r="C178" i="6"/>
  <c r="I177" i="6"/>
  <c r="I203" i="6" s="1"/>
  <c r="H177" i="6"/>
  <c r="H203" i="6" s="1"/>
  <c r="G177" i="6"/>
  <c r="F177" i="6"/>
  <c r="F203" i="6" s="1"/>
  <c r="E177" i="6"/>
  <c r="E203" i="6" s="1"/>
  <c r="D177" i="6"/>
  <c r="C177" i="6"/>
  <c r="G169" i="6"/>
  <c r="F169" i="6"/>
  <c r="E169" i="6"/>
  <c r="D169" i="6"/>
  <c r="C169" i="6"/>
  <c r="I168" i="6"/>
  <c r="H168" i="6"/>
  <c r="G168" i="6"/>
  <c r="F168" i="6"/>
  <c r="E168" i="6"/>
  <c r="D168" i="6"/>
  <c r="C168" i="6"/>
  <c r="G167" i="6"/>
  <c r="F167" i="6"/>
  <c r="E167" i="6"/>
  <c r="D167" i="6"/>
  <c r="C167" i="6"/>
  <c r="I166" i="6"/>
  <c r="H166" i="6"/>
  <c r="G166" i="6"/>
  <c r="F166" i="6"/>
  <c r="E166" i="6"/>
  <c r="D166" i="6"/>
  <c r="C166" i="6"/>
  <c r="I165" i="6"/>
  <c r="H165" i="6"/>
  <c r="G165" i="6"/>
  <c r="F165" i="6"/>
  <c r="E165" i="6"/>
  <c r="D165" i="6"/>
  <c r="C165" i="6"/>
  <c r="I164" i="6"/>
  <c r="H164" i="6"/>
  <c r="G164" i="6"/>
  <c r="F164" i="6"/>
  <c r="E164" i="6"/>
  <c r="D164" i="6"/>
  <c r="C164" i="6"/>
  <c r="I163" i="6"/>
  <c r="H163" i="6"/>
  <c r="G163" i="6"/>
  <c r="F163" i="6"/>
  <c r="E163" i="6"/>
  <c r="D163" i="6"/>
  <c r="C163" i="6"/>
  <c r="I162" i="6"/>
  <c r="H162" i="6"/>
  <c r="G162" i="6"/>
  <c r="F162" i="6"/>
  <c r="E162" i="6"/>
  <c r="D162" i="6"/>
  <c r="C162" i="6"/>
  <c r="I161" i="6"/>
  <c r="H161" i="6"/>
  <c r="G161" i="6"/>
  <c r="F161" i="6"/>
  <c r="E161" i="6"/>
  <c r="D161" i="6"/>
  <c r="C161" i="6"/>
  <c r="I160" i="6"/>
  <c r="H160" i="6"/>
  <c r="G160" i="6"/>
  <c r="F160" i="6"/>
  <c r="E160" i="6"/>
  <c r="D160" i="6"/>
  <c r="C160" i="6"/>
  <c r="I159" i="6"/>
  <c r="H159" i="6"/>
  <c r="G159" i="6"/>
  <c r="F159" i="6"/>
  <c r="E159" i="6"/>
  <c r="D159" i="6"/>
  <c r="C159" i="6"/>
  <c r="I158" i="6"/>
  <c r="H158" i="6"/>
  <c r="G158" i="6"/>
  <c r="F158" i="6"/>
  <c r="E158" i="6"/>
  <c r="D158" i="6"/>
  <c r="C158" i="6"/>
  <c r="I157" i="6"/>
  <c r="H157" i="6"/>
  <c r="G157" i="6"/>
  <c r="F157" i="6"/>
  <c r="E157" i="6"/>
  <c r="D157" i="6"/>
  <c r="C157" i="6"/>
  <c r="I156" i="6"/>
  <c r="H156" i="6"/>
  <c r="G156" i="6"/>
  <c r="F156" i="6"/>
  <c r="E156" i="6"/>
  <c r="D156" i="6"/>
  <c r="C156" i="6"/>
  <c r="I155" i="6"/>
  <c r="H155" i="6"/>
  <c r="G155" i="6"/>
  <c r="F155" i="6"/>
  <c r="E155" i="6"/>
  <c r="D155" i="6"/>
  <c r="C155" i="6"/>
  <c r="I154" i="6"/>
  <c r="H154" i="6"/>
  <c r="G154" i="6"/>
  <c r="F154" i="6"/>
  <c r="E154" i="6"/>
  <c r="D154" i="6"/>
  <c r="C154" i="6"/>
  <c r="I153" i="6"/>
  <c r="H153" i="6"/>
  <c r="G153" i="6"/>
  <c r="F153" i="6"/>
  <c r="E153" i="6"/>
  <c r="D153" i="6"/>
  <c r="C153" i="6"/>
  <c r="I152" i="6"/>
  <c r="H152" i="6"/>
  <c r="G152" i="6"/>
  <c r="F152" i="6"/>
  <c r="E152" i="6"/>
  <c r="D152" i="6"/>
  <c r="C152" i="6"/>
  <c r="I151" i="6"/>
  <c r="H151" i="6"/>
  <c r="G151" i="6"/>
  <c r="F151" i="6"/>
  <c r="E151" i="6"/>
  <c r="D151" i="6"/>
  <c r="C151" i="6"/>
  <c r="I150" i="6"/>
  <c r="H150" i="6"/>
  <c r="G150" i="6"/>
  <c r="F150" i="6"/>
  <c r="E150" i="6"/>
  <c r="D150" i="6"/>
  <c r="C150" i="6"/>
  <c r="I149" i="6"/>
  <c r="H149" i="6"/>
  <c r="G149" i="6"/>
  <c r="F149" i="6"/>
  <c r="E149" i="6"/>
  <c r="D149" i="6"/>
  <c r="C149" i="6"/>
  <c r="I148" i="6"/>
  <c r="H148" i="6"/>
  <c r="G148" i="6"/>
  <c r="F148" i="6"/>
  <c r="E148" i="6"/>
  <c r="D148" i="6"/>
  <c r="C148" i="6"/>
  <c r="I147" i="6"/>
  <c r="H147" i="6"/>
  <c r="G147" i="6"/>
  <c r="F147" i="6"/>
  <c r="E147" i="6"/>
  <c r="D147" i="6"/>
  <c r="C147" i="6"/>
  <c r="I146" i="6"/>
  <c r="H146" i="6"/>
  <c r="G146" i="6"/>
  <c r="F146" i="6"/>
  <c r="E146" i="6"/>
  <c r="D146" i="6"/>
  <c r="C146" i="6"/>
  <c r="I145" i="6"/>
  <c r="H145" i="6"/>
  <c r="G145" i="6"/>
  <c r="F145" i="6"/>
  <c r="E145" i="6"/>
  <c r="D145" i="6"/>
  <c r="C145" i="6"/>
  <c r="I144" i="6"/>
  <c r="H144" i="6"/>
  <c r="H170" i="6" s="1"/>
  <c r="G144" i="6"/>
  <c r="F144" i="6"/>
  <c r="F170" i="6" s="1"/>
  <c r="E144" i="6"/>
  <c r="D144" i="6"/>
  <c r="C144" i="6"/>
  <c r="D135" i="6"/>
  <c r="C135" i="6"/>
  <c r="D134" i="6"/>
  <c r="C134" i="6"/>
  <c r="D133" i="6"/>
  <c r="C133" i="6"/>
  <c r="D132" i="6"/>
  <c r="C132" i="6"/>
  <c r="D131" i="6"/>
  <c r="C131" i="6"/>
  <c r="D129" i="6"/>
  <c r="C129" i="6"/>
  <c r="C120" i="6"/>
  <c r="B120" i="6"/>
  <c r="I114" i="6"/>
  <c r="H114" i="6"/>
  <c r="G114" i="6"/>
  <c r="F114" i="6"/>
  <c r="E114" i="6"/>
  <c r="D114" i="6"/>
  <c r="C114" i="6"/>
  <c r="B114" i="6"/>
  <c r="I113" i="6"/>
  <c r="H113" i="6"/>
  <c r="G113" i="6"/>
  <c r="F113" i="6"/>
  <c r="E113" i="6"/>
  <c r="D113" i="6"/>
  <c r="C113" i="6"/>
  <c r="B113" i="6"/>
  <c r="I112" i="6"/>
  <c r="H112" i="6"/>
  <c r="G112" i="6"/>
  <c r="F112" i="6"/>
  <c r="E112" i="6"/>
  <c r="D112" i="6"/>
  <c r="C112" i="6"/>
  <c r="B112" i="6"/>
  <c r="I111" i="6"/>
  <c r="H111" i="6"/>
  <c r="G111" i="6"/>
  <c r="F111" i="6"/>
  <c r="E111" i="6"/>
  <c r="D111" i="6"/>
  <c r="C111" i="6"/>
  <c r="B111" i="6"/>
  <c r="D92" i="6"/>
  <c r="C92" i="6"/>
  <c r="E92" i="6" s="1"/>
  <c r="B92" i="6"/>
  <c r="D91" i="6"/>
  <c r="C91" i="6"/>
  <c r="E91" i="6" s="1"/>
  <c r="B91" i="6"/>
  <c r="D90" i="6"/>
  <c r="D93" i="6" s="1"/>
  <c r="C90" i="6"/>
  <c r="C93" i="6" s="1"/>
  <c r="B90" i="6"/>
  <c r="B93" i="6" s="1"/>
  <c r="D87" i="6"/>
  <c r="C87" i="6"/>
  <c r="E87" i="6" s="1"/>
  <c r="B87" i="6"/>
  <c r="D86" i="6"/>
  <c r="C86" i="6"/>
  <c r="E86" i="6" s="1"/>
  <c r="B86" i="6"/>
  <c r="D85" i="6"/>
  <c r="C85" i="6"/>
  <c r="E85" i="6" s="1"/>
  <c r="E84" i="6" s="1"/>
  <c r="B85" i="6"/>
  <c r="D84" i="6"/>
  <c r="C84" i="6"/>
  <c r="B84" i="6"/>
  <c r="D83" i="6"/>
  <c r="C83" i="6"/>
  <c r="E83" i="6" s="1"/>
  <c r="B83" i="6"/>
  <c r="D82" i="6"/>
  <c r="C82" i="6"/>
  <c r="E82" i="6" s="1"/>
  <c r="B82" i="6"/>
  <c r="D81" i="6"/>
  <c r="C81" i="6"/>
  <c r="B81" i="6"/>
  <c r="D80" i="6"/>
  <c r="D95" i="6" s="1"/>
  <c r="C80" i="6"/>
  <c r="C95" i="6" s="1"/>
  <c r="B80" i="6"/>
  <c r="B95" i="6" s="1"/>
  <c r="C65" i="6"/>
  <c r="C64" i="6"/>
  <c r="C66" i="6" s="1"/>
  <c r="C63" i="6"/>
  <c r="C60" i="6"/>
  <c r="C59" i="6"/>
  <c r="C58" i="6" s="1"/>
  <c r="C57" i="6"/>
  <c r="C56" i="6"/>
  <c r="C55" i="6"/>
  <c r="C61" i="6" s="1"/>
  <c r="C54" i="6"/>
  <c r="C51" i="6"/>
  <c r="C50" i="6"/>
  <c r="C49" i="6" s="1"/>
  <c r="C52" i="6" s="1"/>
  <c r="C48" i="6"/>
  <c r="C47" i="6"/>
  <c r="C46" i="6"/>
  <c r="C45" i="6"/>
  <c r="C68" i="6" s="1"/>
  <c r="G34" i="6"/>
  <c r="C34" i="6"/>
  <c r="G32" i="6"/>
  <c r="H31" i="6"/>
  <c r="G31" i="6"/>
  <c r="F31" i="6"/>
  <c r="E31" i="6"/>
  <c r="D31" i="6"/>
  <c r="C31" i="6"/>
  <c r="B31" i="6"/>
  <c r="I31" i="6" s="1"/>
  <c r="H30" i="6"/>
  <c r="G30" i="6"/>
  <c r="F30" i="6"/>
  <c r="E30" i="6"/>
  <c r="D30" i="6"/>
  <c r="C30" i="6"/>
  <c r="B30" i="6"/>
  <c r="I30" i="6" s="1"/>
  <c r="H29" i="6"/>
  <c r="H32" i="6" s="1"/>
  <c r="G29" i="6"/>
  <c r="F29" i="6"/>
  <c r="F32" i="6" s="1"/>
  <c r="E29" i="6"/>
  <c r="E32" i="6" s="1"/>
  <c r="D29" i="6"/>
  <c r="D32" i="6" s="1"/>
  <c r="C29" i="6"/>
  <c r="C32" i="6" s="1"/>
  <c r="B29" i="6"/>
  <c r="I29" i="6" s="1"/>
  <c r="H26" i="6"/>
  <c r="G26" i="6"/>
  <c r="F26" i="6"/>
  <c r="E26" i="6"/>
  <c r="D26" i="6"/>
  <c r="C26" i="6"/>
  <c r="B26" i="6"/>
  <c r="I26" i="6" s="1"/>
  <c r="H25" i="6"/>
  <c r="G25" i="6"/>
  <c r="F25" i="6"/>
  <c r="E25" i="6"/>
  <c r="D25" i="6"/>
  <c r="C25" i="6"/>
  <c r="B25" i="6"/>
  <c r="I25" i="6" s="1"/>
  <c r="H24" i="6"/>
  <c r="G24" i="6"/>
  <c r="F24" i="6"/>
  <c r="E24" i="6"/>
  <c r="D24" i="6"/>
  <c r="C24" i="6"/>
  <c r="B24" i="6"/>
  <c r="H23" i="6"/>
  <c r="G23" i="6"/>
  <c r="F23" i="6"/>
  <c r="E23" i="6"/>
  <c r="D23" i="6"/>
  <c r="C23" i="6"/>
  <c r="B23" i="6"/>
  <c r="I23" i="6" s="1"/>
  <c r="H22" i="6"/>
  <c r="G22" i="6"/>
  <c r="F22" i="6"/>
  <c r="E22" i="6"/>
  <c r="D22" i="6"/>
  <c r="C22" i="6"/>
  <c r="B22" i="6"/>
  <c r="I22" i="6" s="1"/>
  <c r="H21" i="6"/>
  <c r="G21" i="6"/>
  <c r="F21" i="6"/>
  <c r="E21" i="6"/>
  <c r="D21" i="6"/>
  <c r="C21" i="6"/>
  <c r="B21" i="6"/>
  <c r="I21" i="6" s="1"/>
  <c r="H20" i="6"/>
  <c r="G20" i="6"/>
  <c r="F20" i="6"/>
  <c r="E20" i="6"/>
  <c r="D20" i="6"/>
  <c r="C20" i="6"/>
  <c r="B20" i="6"/>
  <c r="H19" i="6"/>
  <c r="H27" i="6" s="1"/>
  <c r="G19" i="6"/>
  <c r="G27" i="6" s="1"/>
  <c r="F19" i="6"/>
  <c r="F27" i="6" s="1"/>
  <c r="E19" i="6"/>
  <c r="E27" i="6" s="1"/>
  <c r="D19" i="6"/>
  <c r="D27" i="6" s="1"/>
  <c r="C19" i="6"/>
  <c r="C27" i="6" s="1"/>
  <c r="B19" i="6"/>
  <c r="I19" i="6" s="1"/>
  <c r="H16" i="6"/>
  <c r="G16" i="6"/>
  <c r="F16" i="6"/>
  <c r="E16" i="6"/>
  <c r="D16" i="6"/>
  <c r="C16" i="6"/>
  <c r="B16" i="6"/>
  <c r="I16" i="6" s="1"/>
  <c r="H15" i="6"/>
  <c r="G15" i="6"/>
  <c r="F15" i="6"/>
  <c r="E15" i="6"/>
  <c r="D15" i="6"/>
  <c r="C15" i="6"/>
  <c r="B15" i="6"/>
  <c r="I15" i="6" s="1"/>
  <c r="H14" i="6"/>
  <c r="G14" i="6"/>
  <c r="F14" i="6"/>
  <c r="E14" i="6"/>
  <c r="D14" i="6"/>
  <c r="C14" i="6"/>
  <c r="B14" i="6"/>
  <c r="H13" i="6"/>
  <c r="G13" i="6"/>
  <c r="F13" i="6"/>
  <c r="E13" i="6"/>
  <c r="D13" i="6"/>
  <c r="C13" i="6"/>
  <c r="B13" i="6"/>
  <c r="I13" i="6" s="1"/>
  <c r="H12" i="6"/>
  <c r="G12" i="6"/>
  <c r="F12" i="6"/>
  <c r="E12" i="6"/>
  <c r="D12" i="6"/>
  <c r="C12" i="6"/>
  <c r="B12" i="6"/>
  <c r="I12" i="6" s="1"/>
  <c r="H11" i="6"/>
  <c r="G11" i="6"/>
  <c r="F11" i="6"/>
  <c r="E11" i="6"/>
  <c r="D11" i="6"/>
  <c r="C11" i="6"/>
  <c r="B11" i="6"/>
  <c r="I11" i="6" s="1"/>
  <c r="H10" i="6"/>
  <c r="G10" i="6"/>
  <c r="F10" i="6"/>
  <c r="E10" i="6"/>
  <c r="D10" i="6"/>
  <c r="C10" i="6"/>
  <c r="B10" i="6"/>
  <c r="H9" i="6"/>
  <c r="H34" i="6" s="1"/>
  <c r="G9" i="6"/>
  <c r="G17" i="6" s="1"/>
  <c r="G35" i="6" s="1"/>
  <c r="F9" i="6"/>
  <c r="F34" i="6" s="1"/>
  <c r="E9" i="6"/>
  <c r="E34" i="6" s="1"/>
  <c r="D9" i="6"/>
  <c r="D34" i="6" s="1"/>
  <c r="C9" i="6"/>
  <c r="C17" i="6" s="1"/>
  <c r="C35" i="6" s="1"/>
  <c r="B9" i="6"/>
  <c r="B34" i="6" s="1"/>
  <c r="D32" i="4"/>
  <c r="C32" i="4"/>
  <c r="D31" i="4"/>
  <c r="C31" i="4"/>
  <c r="C30" i="4" s="1"/>
  <c r="D30" i="4"/>
  <c r="G30" i="4" s="1"/>
  <c r="D28" i="4"/>
  <c r="C28" i="4"/>
  <c r="D27" i="4"/>
  <c r="C27" i="4"/>
  <c r="D25" i="4"/>
  <c r="C25" i="4"/>
  <c r="D20" i="4"/>
  <c r="C20" i="4"/>
  <c r="C19" i="4" s="1"/>
  <c r="D19" i="4"/>
  <c r="D18" i="4"/>
  <c r="C18" i="4"/>
  <c r="D16" i="4"/>
  <c r="C16" i="4"/>
  <c r="D14" i="4"/>
  <c r="C14" i="4"/>
  <c r="D9" i="4"/>
  <c r="C9" i="4"/>
  <c r="C8" i="4" s="1"/>
  <c r="D8" i="4"/>
  <c r="D29" i="4" s="1"/>
  <c r="D40" i="3"/>
  <c r="D39" i="3"/>
  <c r="C39" i="3"/>
  <c r="D35" i="3"/>
  <c r="C35" i="3"/>
  <c r="D33" i="3"/>
  <c r="C33" i="3"/>
  <c r="D31" i="3"/>
  <c r="C31" i="3"/>
  <c r="D27" i="3"/>
  <c r="C27" i="3"/>
  <c r="D24" i="3"/>
  <c r="C24" i="3"/>
  <c r="C15" i="3" s="1"/>
  <c r="D19" i="3"/>
  <c r="C19" i="3"/>
  <c r="D15" i="3"/>
  <c r="D14" i="3"/>
  <c r="C14" i="3"/>
  <c r="D9" i="3"/>
  <c r="D8" i="3" s="1"/>
  <c r="D26" i="3" s="1"/>
  <c r="D34" i="3" s="1"/>
  <c r="D42" i="3" s="1"/>
  <c r="D45" i="3" s="1"/>
  <c r="C9" i="3"/>
  <c r="C8" i="3"/>
  <c r="C26" i="3" s="1"/>
  <c r="C39" i="2"/>
  <c r="B39" i="2"/>
  <c r="C37" i="2"/>
  <c r="B37" i="2"/>
  <c r="C33" i="2"/>
  <c r="B33" i="2"/>
  <c r="F31" i="2"/>
  <c r="E31" i="2"/>
  <c r="C28" i="2"/>
  <c r="B28" i="2"/>
  <c r="F27" i="2"/>
  <c r="E27" i="2"/>
  <c r="C27" i="2"/>
  <c r="B27" i="2"/>
  <c r="F24" i="2"/>
  <c r="E24" i="2"/>
  <c r="C21" i="2"/>
  <c r="B21" i="2"/>
  <c r="C20" i="2"/>
  <c r="B20" i="2"/>
  <c r="F19" i="2"/>
  <c r="E19" i="2"/>
  <c r="F18" i="2"/>
  <c r="E18" i="2"/>
  <c r="F17" i="2"/>
  <c r="E17" i="2"/>
  <c r="F12" i="2"/>
  <c r="E12" i="2"/>
  <c r="F11" i="2"/>
  <c r="E11" i="2"/>
  <c r="C11" i="2"/>
  <c r="B11" i="2"/>
  <c r="F10" i="2"/>
  <c r="E10" i="2"/>
  <c r="C10" i="2"/>
  <c r="B10" i="2"/>
  <c r="F8" i="2"/>
  <c r="F48" i="2" s="1"/>
  <c r="E8" i="2"/>
  <c r="C8" i="2"/>
  <c r="C48" i="2" s="1"/>
  <c r="B8" i="2"/>
  <c r="B48" i="2" s="1"/>
  <c r="I10" i="6" l="1"/>
  <c r="I14" i="6"/>
  <c r="I20" i="6"/>
  <c r="I24" i="6"/>
  <c r="I27" i="6" s="1"/>
  <c r="I32" i="6"/>
  <c r="C69" i="6"/>
  <c r="E81" i="6"/>
  <c r="B17" i="6"/>
  <c r="D17" i="6"/>
  <c r="D35" i="6" s="1"/>
  <c r="F17" i="6"/>
  <c r="F35" i="6" s="1"/>
  <c r="H17" i="6"/>
  <c r="H35" i="6" s="1"/>
  <c r="B27" i="6"/>
  <c r="B32" i="6"/>
  <c r="E80" i="6"/>
  <c r="E90" i="6"/>
  <c r="E93" i="6" s="1"/>
  <c r="I401" i="6"/>
  <c r="I396" i="6"/>
  <c r="I402" i="6" s="1"/>
  <c r="F396" i="6"/>
  <c r="F402" i="6" s="1"/>
  <c r="D401" i="6"/>
  <c r="H401" i="6"/>
  <c r="I9" i="6"/>
  <c r="E17" i="6"/>
  <c r="E35" i="6" s="1"/>
  <c r="C88" i="6"/>
  <c r="C96" i="6" s="1"/>
  <c r="E170" i="6"/>
  <c r="G170" i="6"/>
  <c r="I170" i="6"/>
  <c r="F217" i="6"/>
  <c r="H217" i="6"/>
  <c r="I214" i="6"/>
  <c r="I217" i="6" s="1"/>
  <c r="D234" i="6"/>
  <c r="F234" i="6"/>
  <c r="H228" i="6"/>
  <c r="H232" i="6"/>
  <c r="B387" i="6"/>
  <c r="B391" i="6"/>
  <c r="B396" i="6" s="1"/>
  <c r="B402" i="6" s="1"/>
  <c r="B400" i="6"/>
  <c r="B401" i="6"/>
  <c r="B88" i="6"/>
  <c r="B96" i="6" s="1"/>
  <c r="D88" i="6"/>
  <c r="D96" i="6" s="1"/>
  <c r="H224" i="6"/>
  <c r="C396" i="6"/>
  <c r="C402" i="6" s="1"/>
  <c r="E396" i="6"/>
  <c r="E402" i="6" s="1"/>
  <c r="G396" i="6"/>
  <c r="G402" i="6" s="1"/>
  <c r="D34" i="4"/>
  <c r="G29" i="4"/>
  <c r="C29" i="4"/>
  <c r="C34" i="3"/>
  <c r="D53" i="3"/>
  <c r="G45" i="3"/>
  <c r="F50" i="2"/>
  <c r="E48" i="2"/>
  <c r="I34" i="6" l="1"/>
  <c r="I17" i="6"/>
  <c r="I35" i="6" s="1"/>
  <c r="E95" i="6"/>
  <c r="E88" i="6"/>
  <c r="E96" i="6" s="1"/>
  <c r="B35" i="6"/>
  <c r="H234" i="6"/>
  <c r="C34" i="4"/>
  <c r="C42" i="3"/>
  <c r="E50" i="2"/>
  <c r="C45" i="3" l="1"/>
  <c r="C53" i="3" l="1"/>
</calcChain>
</file>

<file path=xl/sharedStrings.xml><?xml version="1.0" encoding="utf-8"?>
<sst xmlns="http://schemas.openxmlformats.org/spreadsheetml/2006/main" count="775" uniqueCount="554">
  <si>
    <r>
      <t xml:space="preserve">Nazwa i adres jednostki sprawozdawczej 
</t>
    </r>
    <r>
      <rPr>
        <b/>
        <sz val="11"/>
        <color theme="1"/>
        <rFont val="Calibri"/>
        <family val="2"/>
        <charset val="238"/>
        <scheme val="minor"/>
      </rPr>
      <t>Urząd Miasta Stołecznego Warszawy
Pl. Bankowy 3/5
00-950 Warszawa</t>
    </r>
  </si>
  <si>
    <t>Bilans jednostki budżetowej lub samorządowego zakładu budżetowego
sporządzony na dzień 31.12.2023 r.</t>
  </si>
  <si>
    <r>
      <t xml:space="preserve">
Adresat:
</t>
    </r>
    <r>
      <rPr>
        <b/>
        <sz val="11"/>
        <color theme="1"/>
        <rFont val="Calibri"/>
        <family val="2"/>
        <charset val="238"/>
        <scheme val="minor"/>
      </rPr>
      <t>m.st. Warszawa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</si>
  <si>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Numer identyfikacyjny</t>
  </si>
  <si>
    <t>Korekta 1</t>
  </si>
  <si>
    <r>
      <t>REGON</t>
    </r>
    <r>
      <rPr>
        <b/>
        <sz val="11"/>
        <color theme="1"/>
        <rFont val="Calibri"/>
        <family val="2"/>
        <charset val="238"/>
        <scheme val="minor"/>
      </rPr>
      <t xml:space="preserve"> 15259640</t>
    </r>
  </si>
  <si>
    <t>AKTYWA</t>
  </si>
  <si>
    <t>Stan na początek roku</t>
  </si>
  <si>
    <t>Stan na koniec roku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</si>
  <si>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</si>
  <si>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</si>
  <si>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</si>
  <si>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</si>
  <si>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</si>
  <si>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</si>
  <si>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</si>
  <si>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</si>
  <si>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</si>
  <si>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</si>
  <si>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</si>
  <si>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</si>
  <si>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</si>
  <si>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</si>
  <si>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</si>
  <si>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</si>
  <si>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</si>
  <si>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</si>
  <si>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</si>
  <si>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</si>
  <si>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theme="1"/>
        <rFont val="Calibri"/>
        <family val="2"/>
        <charset val="238"/>
        <scheme val="minor"/>
      </rPr>
      <t> </t>
    </r>
  </si>
  <si>
    <t>2. Środki trwałe w budowie (inwestycje)</t>
  </si>
  <si>
    <r>
      <t> </t>
    </r>
    <r>
      <rPr>
        <b/>
        <sz val="11"/>
        <color theme="1"/>
        <rFont val="Calibri"/>
        <family val="2"/>
        <charset val="238"/>
        <scheme val="minor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</si>
  <si>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</si>
  <si>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</si>
  <si>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</si>
  <si>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</si>
  <si>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</si>
  <si>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</si>
  <si>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</si>
  <si>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</si>
  <si>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</si>
  <si>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</si>
  <si>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</si>
  <si>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</si>
  <si>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</si>
  <si>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</si>
  <si>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</si>
  <si>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</si>
  <si>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</si>
  <si>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</si>
  <si>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</si>
  <si>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</si>
  <si>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</si>
  <si>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</si>
  <si>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</si>
  <si>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</si>
  <si>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</si>
  <si>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</si>
  <si>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</si>
  <si>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</si>
  <si>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</si>
  <si>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</si>
  <si>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</si>
  <si>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</si>
  <si>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</si>
  <si>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</si>
  <si>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</si>
  <si>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</si>
  <si>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</si>
  <si>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</si>
  <si>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</si>
  <si>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</si>
  <si>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</si>
  <si>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</si>
  <si>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</si>
  <si>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</si>
  <si>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</si>
  <si>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</si>
  <si>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....................................................</t>
  </si>
  <si>
    <t>(rok, miesiąc, dzień)</t>
  </si>
  <si>
    <t>.......................................</t>
  </si>
  <si>
    <t>(główny księgowy)</t>
  </si>
  <si>
    <t>(kierownik jednostki)</t>
  </si>
  <si>
    <t>Rachunek zysków i strat jednostki</t>
  </si>
  <si>
    <r>
      <t xml:space="preserve">Adresat:
</t>
    </r>
    <r>
      <rPr>
        <b/>
        <sz val="11"/>
        <color theme="1"/>
        <rFont val="Calibri"/>
        <family val="2"/>
        <charset val="238"/>
        <scheme val="minor"/>
      </rPr>
      <t>m.st. Warszawa</t>
    </r>
  </si>
  <si>
    <t>(wariant porównawczy)</t>
  </si>
  <si>
    <t>sporządzony na dzień 31.12.2023 r.</t>
  </si>
  <si>
    <t>Stan na koniec roku poprzedniego</t>
  </si>
  <si>
    <t>Stan na koniec roku bieżącego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</si>
  <si>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</si>
  <si>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</si>
  <si>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</si>
  <si>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 III. Koszt wytworzenia produktów na własne potrzeby jednostki</t>
  </si>
  <si>
    <t> IV. Przychody netto ze sprzedaży towarów i materiałów</t>
  </si>
  <si>
    <t> 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</si>
  <si>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</si>
  <si>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</si>
  <si>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</si>
  <si>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</si>
  <si>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</si>
  <si>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</si>
  <si>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</si>
  <si>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</si>
  <si>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</si>
  <si>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</si>
  <si>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</si>
  <si>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</si>
  <si>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</si>
  <si>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</si>
  <si>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</si>
  <si>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</si>
  <si>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</si>
  <si>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</si>
  <si>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</si>
  <si>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</si>
  <si>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</si>
  <si>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</si>
  <si>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</si>
  <si>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</si>
  <si>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</si>
  <si>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</si>
  <si>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</si>
  <si>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</si>
  <si>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</si>
  <si>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</si>
  <si>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</si>
  <si>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</si>
  <si>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(rok-miesiąc-dzień)</t>
  </si>
  <si>
    <t>..................................................</t>
  </si>
  <si>
    <t>........................................</t>
  </si>
  <si>
    <r>
      <t xml:space="preserve">Nazwa i adres jednostki sprawozdawczej  
</t>
    </r>
    <r>
      <rPr>
        <b/>
        <sz val="11"/>
        <color theme="1"/>
        <rFont val="Calibri"/>
        <family val="2"/>
        <charset val="238"/>
        <scheme val="minor"/>
      </rPr>
      <t>Urząd Miasta Stołecznego Warszawy
Pl. Bankowy 3/5
00-950 Warszawa</t>
    </r>
  </si>
  <si>
    <t>Zestawienie zmian w funduszu jednostki</t>
  </si>
  <si>
    <r>
      <t xml:space="preserve">Adresat:
</t>
    </r>
    <r>
      <rPr>
        <b/>
        <sz val="11"/>
        <color theme="1"/>
        <rFont val="Calibri"/>
        <family val="2"/>
        <charset val="238"/>
        <scheme val="minor"/>
      </rPr>
      <t xml:space="preserve">m.st. Warszawa </t>
    </r>
  </si>
  <si>
    <t xml:space="preserve">sporządzone na dzień 31.12.2023 r.
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</si>
  <si>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</si>
  <si>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</si>
  <si>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</si>
  <si>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</si>
  <si>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</si>
  <si>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</si>
  <si>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</si>
  <si>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 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</si>
  <si>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</si>
  <si>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</si>
  <si>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</si>
  <si>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</si>
  <si>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</si>
  <si>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</si>
  <si>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</si>
  <si>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</si>
  <si>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</si>
  <si>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</si>
  <si>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</si>
  <si>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</si>
  <si>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</si>
  <si>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</si>
  <si>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>II. Fundusz jednostki na koniec okresu (BZ)</t>
  </si>
  <si>
    <t>III. Wynik finansowy netto za rok bieżący</t>
  </si>
  <si>
    <t>1. zysk netto (+)</t>
  </si>
  <si>
    <t>2. strata netto (-)</t>
  </si>
  <si>
    <t>3. nadwyżka środków obrotowych</t>
  </si>
  <si>
    <t>V. Fundusz (II+,-III-IV)</t>
  </si>
  <si>
    <t>.................................................</t>
  </si>
  <si>
    <t>..................................</t>
  </si>
  <si>
    <t>......................................</t>
  </si>
  <si>
    <t>Po dniu bilansowym do dnia sporządzenia sprawozdania finansowego za rok obrotowy nie wystąpiły znaczące zdarzenia, które powinny być ujęte w sprawozdaniu finansowym roku obrotowego.</t>
  </si>
  <si>
    <t>II.3.3. Informacje o znaczących zdarzeniach jakie nastąpiły po dniu bilansowym a nieuwzględnionych w sprawozdaniu finansowym</t>
  </si>
  <si>
    <t>Korekta dotyczyła wyksiegowania z ewidencji bilansowej nieruchomości przekazanych w latach ubiegłych w nieodpłatne użytkowanie podmiotom leczniczym prowadzonym w formie samodzielnych publicznych zakładów opieki zdrowotnej (SPZOZ).</t>
  </si>
  <si>
    <t xml:space="preserve">W sprawozdaniu finansowym Urzędu m.st. Warszawy za 2023 r. ujęto korekty lat ubiegłych dotyczące zmniejszenia wartości środków trwałych o kwotę 50 166 025,45 zł. </t>
  </si>
  <si>
    <t>II.3.2. Informacje o znaczących zdarzeniach dotyczących lat ubiegłych 
ujętych w sprawozdaniu finansowym roku obrotowego</t>
  </si>
  <si>
    <t>Pracownicy ogółem</t>
  </si>
  <si>
    <t>Stan zatrudnienia na koniec 
roku obrotowego (osoby)</t>
  </si>
  <si>
    <t>Stan zatrudnienia na koniec
 roku poprzedniego (osoby)</t>
  </si>
  <si>
    <t>Wyszczególnienie</t>
  </si>
  <si>
    <r>
      <t xml:space="preserve">II.3.1. Informacja o stanie zatrudnienia </t>
    </r>
    <r>
      <rPr>
        <sz val="10"/>
        <color indexed="8"/>
        <rFont val="Calibri"/>
        <family val="2"/>
        <charset val="238"/>
        <scheme val="minor"/>
      </rPr>
      <t>(osoby)</t>
    </r>
  </si>
  <si>
    <t xml:space="preserve">II.3. Inne informacje niż wymienione powyżej, jeżeli mogłyby w istotny sposób wpłynąć na ocenę sytuacji majątkowej i finansowej oraz wynik finansowy jednostki </t>
  </si>
  <si>
    <t>Razem</t>
  </si>
  <si>
    <t>Instytucje Kultury</t>
  </si>
  <si>
    <t>Zakłady Opieki Zdrowotnej</t>
  </si>
  <si>
    <t>Zarząd Pałacu Kultury i Nauki Sp. z o.o.</t>
  </si>
  <si>
    <t>Tramwaje Warszawskie Sp. z o.o.</t>
  </si>
  <si>
    <t>TBS Warszawa Północ Sp. z o.o.</t>
  </si>
  <si>
    <t>TBS Warszawa Południe Sp. z o.o.</t>
  </si>
  <si>
    <t>Warszawskie Centrum Opieki Medycznej "Kopernik" Sp. z o.o.</t>
  </si>
  <si>
    <t>Szpital Wolski im. Anny Gostyńskiej Spółka z o.o.</t>
  </si>
  <si>
    <t>Warszawski Szpital Południowy Sp. z o.o.</t>
  </si>
  <si>
    <t>Szpital Praski p.w. Przemienienia Pańskiego Sp. z o.o.</t>
  </si>
  <si>
    <t>Szpital Grochowski im. dr med. Rafała Masztaka Sp. z o.o.</t>
  </si>
  <si>
    <t>Szpital Czerniakowski Sp. z o.o.</t>
  </si>
  <si>
    <t>WAREXPO Sp. z o.o.</t>
  </si>
  <si>
    <t>Stołeczne Centrum Opiekuńczo-Lecznicze Sp. z o.o.</t>
  </si>
  <si>
    <t>SEDECO Sp. z. o.o.</t>
  </si>
  <si>
    <t>Przedsiębiorstwo Gospodarki Maszynami Budownictwa "Warszawa" Sp. z o.o.</t>
  </si>
  <si>
    <t>Miejskie Zakłady Autobusowe Sp. z o.o.</t>
  </si>
  <si>
    <t xml:space="preserve">Miejskie Przedsiębiorstwo Wodociągów i Kanalizacji w m. st. Warszawie SA </t>
  </si>
  <si>
    <t>Miejskie Przedsiębiorstwo Usług Komunalnych Sp. z o.o.</t>
  </si>
  <si>
    <t>Miejskie Przedsiębiorstwo Realizacji Inwestycji Sp. z o.o.</t>
  </si>
  <si>
    <t>Miejskie Przedsiębiorstwo Oczyszczania w m. st. Warszawie Sp. z o.o.</t>
  </si>
  <si>
    <t>Metro Warszawskie Sp. z o.o.</t>
  </si>
  <si>
    <t xml:space="preserve">GGKO Zarządzanie Nieruchomościami Sp. z o.o. </t>
  </si>
  <si>
    <t>Centrum Medyczne Żelazna Sp. z o.o.</t>
  </si>
  <si>
    <t>Spółki, w których Miasto posiada 100% udziałów, akcji w tym:</t>
  </si>
  <si>
    <t>Koszty</t>
  </si>
  <si>
    <t>Przychody</t>
  </si>
  <si>
    <t>Zobowiązania</t>
  </si>
  <si>
    <t>Należności</t>
  </si>
  <si>
    <t xml:space="preserve">Stan na koniec roku </t>
  </si>
  <si>
    <t>Nazwa jednostki</t>
  </si>
  <si>
    <t>II.2.5.g. Istotne transakcje z podmiotami powiązanymi</t>
  </si>
  <si>
    <t>pozostałe</t>
  </si>
  <si>
    <t>umorzenie odsetek</t>
  </si>
  <si>
    <t>utworzenie rezerw na sprawy sądowe z tyt. odsetek</t>
  </si>
  <si>
    <t>utworzenie odpisu aktualizującego wartość odsetek od należności</t>
  </si>
  <si>
    <t>utworzenie odpisu aktualizującego wartość długoterminowych aktywów finansowych</t>
  </si>
  <si>
    <t>ujemne różnice kursowe</t>
  </si>
  <si>
    <t xml:space="preserve">Inne, w tym:           </t>
  </si>
  <si>
    <t>odsetki od zobowiązań</t>
  </si>
  <si>
    <t>odsetki od kredytów i pożyczek</t>
  </si>
  <si>
    <t xml:space="preserve">Odsetki, w tym: </t>
  </si>
  <si>
    <t>Obroty roku bieżącego</t>
  </si>
  <si>
    <t>Obroty roku poprzedniego</t>
  </si>
  <si>
    <t xml:space="preserve">II.2.5.f. Koszty finansowe </t>
  </si>
  <si>
    <t xml:space="preserve">pozostałe </t>
  </si>
  <si>
    <t>rozwiązanie niewykorzystanych rezerw na odsetki z tyt. spraw sądowych lub odsetek z tyt. zobowiązań</t>
  </si>
  <si>
    <t>umorzone zobowiązania z tytułu kredytów i pożyczek</t>
  </si>
  <si>
    <t>rozwiązanie lub zmniejszenie odpisów aktualizujących wartość długoterminowych aktywów finansowych</t>
  </si>
  <si>
    <t>rozwiązanie odpisów aktualizujących odsetki od należności</t>
  </si>
  <si>
    <t>dodatnie różnice kursowe</t>
  </si>
  <si>
    <t>zysk na sprzedaży udziałów i akcji</t>
  </si>
  <si>
    <t xml:space="preserve">Inne, w tym: </t>
  </si>
  <si>
    <t>odsetki bankowe od środków na rachunku bankowym, odsetki od lokat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</si>
  <si>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</si>
  <si>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Dywidendy i udziały w zyskach</t>
  </si>
  <si>
    <t>II.2.5.e. Przychody finansowe</t>
  </si>
  <si>
    <r>
      <rPr>
        <b/>
        <i/>
        <sz val="10"/>
        <color indexed="8"/>
        <rFont val="Calibri"/>
        <family val="2"/>
        <charset val="238"/>
        <scheme val="minor"/>
      </rPr>
      <t>inne koszty operacyjne</t>
    </r>
    <r>
      <rPr>
        <i/>
        <sz val="10"/>
        <color indexed="8"/>
        <rFont val="Calibri"/>
        <family val="2"/>
        <charset val="238"/>
        <scheme val="minor"/>
      </rPr>
      <t xml:space="preserve">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ubiegłych, itp.)</t>
    </r>
  </si>
  <si>
    <t>nieodpłatnie przekazane rzeczowe aktywa obrotowe</t>
  </si>
  <si>
    <t>zapłacone odszkodowania, kary i grzywny</t>
  </si>
  <si>
    <t>utworzonych rezerw na zobowiązania</t>
  </si>
  <si>
    <t>Inne koszty operacyjne, w tym:</t>
  </si>
  <si>
    <t>utworzenie odpisów aktualizujących wartość należności</t>
  </si>
  <si>
    <t>utworzenie odpisów aktualizujących wartość nieruchomości inwestycyjnych</t>
  </si>
  <si>
    <t>utworzenie odpisów aktualizujących wartość śr. trwałych, śr. trwałych w budowie oraz wartości niematerialnych i prawnych</t>
  </si>
  <si>
    <t>Aktualizacja wartości aktywów niefinansowych, w tym:</t>
  </si>
  <si>
    <t>Odpisy należności przedawnionych, umorzonych, nieściągalnych</t>
  </si>
  <si>
    <t xml:space="preserve">Pozostałe koszty operacyjne, w tym: </t>
  </si>
  <si>
    <t>Koszty inwestycji finansowych ze środków własnych samorządowych zakładów budżetowych i dochodów jednostek budżetowych gromadzonych na wydzielonym rachunku (§ 607, § 608)</t>
  </si>
  <si>
    <t>Pozostałe koszty operacyjne</t>
  </si>
  <si>
    <t>II.2.5.d. Pozostałe koszty operacyjne</t>
  </si>
  <si>
    <r>
      <rPr>
        <b/>
        <i/>
        <sz val="10"/>
        <rFont val="Calibri"/>
        <family val="2"/>
        <charset val="238"/>
        <scheme val="minor"/>
      </rPr>
      <t>inne</t>
    </r>
    <r>
      <rPr>
        <i/>
        <sz val="10"/>
        <rFont val="Calibri"/>
        <family val="2"/>
        <charset val="238"/>
        <scheme val="minor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</si>
  <si>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środki pieniężne </t>
  </si>
  <si>
    <t>rozwiązanie odpisów aktualizujących wartość  śr. trwałych, śr. trwałych w budowie oraz wartości niematerialnych i prawnych</t>
  </si>
  <si>
    <t>rozwiązanie rezerw na zobowiązania</t>
  </si>
  <si>
    <t>rozwiązanie odpisu aktualizującego wartość należności</t>
  </si>
  <si>
    <t>darowizny, nieodpłatnie otrzymane rzeczowe aktywa obrotowe</t>
  </si>
  <si>
    <t>odpisane przedawnione, nieściągnięte, umorzone zobowiązania</t>
  </si>
  <si>
    <t>kary umowne, odszkodowania</t>
  </si>
  <si>
    <t>opłaty za wyżywienie niezwiązane z działalnością statutową</t>
  </si>
  <si>
    <t>opłaty za dzierżawę, najem niezwiązane z działalnością statutową</t>
  </si>
  <si>
    <t>Inne przychody operacyjne, w tym:</t>
  </si>
  <si>
    <t>Dotacje</t>
  </si>
  <si>
    <t>opłaty z tyt. przekształcenia  wieczystego gruntów w prawo własności</t>
  </si>
  <si>
    <t>sprzedaż pozostałych składników majątkowych</t>
  </si>
  <si>
    <t>sprzedaż lokali lub nieruchomości</t>
  </si>
  <si>
    <t xml:space="preserve">Zysk ze zbycia niefinansowych aktywów trwałych, w tym: </t>
  </si>
  <si>
    <t>Pozostałe przychody operacyjne</t>
  </si>
  <si>
    <t xml:space="preserve">II. 2.5.c. Pozostałe przychody operacyjne </t>
  </si>
  <si>
    <t>Inne</t>
  </si>
  <si>
    <t>Opłaty za administrowanie i czynsze za budynki, lokale i pomieszczenia garażowe § 440</t>
  </si>
  <si>
    <t>Zakup usług obejmujących wykonanie ekspertyz, analiz i opinii  § 439</t>
  </si>
  <si>
    <t>Zakup usług obejmujących tłumaczenia § 438</t>
  </si>
  <si>
    <t>Opłaty z tytułu zakupu usług telekomunikacyjnych § 436</t>
  </si>
  <si>
    <t>Zakup usług remontowo-konserwatorskich dotyczących obiektów zabytkowych będących w użytkowaniu jednostek budżetowych § 434</t>
  </si>
  <si>
    <t>Zakup usług przez jednostki s. terytorialnego od innych jednostek s. terytorialnego § 433</t>
  </si>
  <si>
    <t>Zakup usług pozostałych § 430</t>
  </si>
  <si>
    <t>Zakup usług zdrowotnych § 428</t>
  </si>
  <si>
    <t>Zakup usług remontowych  § 427</t>
  </si>
  <si>
    <t>Usługi obce</t>
  </si>
  <si>
    <t xml:space="preserve">II.2.5.b. Struktura kosztów usług obcych </t>
  </si>
  <si>
    <t xml:space="preserve">* W pozycji "inne" w obrotach roku bieżącego zostały wykazane przychody z tytułu środków otrzymanych z Funduszu Pomocy Ukrainie oraz Funduszu Narodów Zjednoczonych na Rzecz Dzieci - UNICEF w wysokości 351 714 192,81 zł. </t>
  </si>
  <si>
    <r>
      <t>Razem</t>
    </r>
    <r>
      <rPr>
        <sz val="10"/>
        <color indexed="8"/>
        <rFont val="Times New Roman"/>
        <family val="1"/>
        <charset val="238"/>
      </rPr>
      <t/>
    </r>
  </si>
  <si>
    <t>inne *</t>
  </si>
  <si>
    <t xml:space="preserve">opłaty za odpady komunalne </t>
  </si>
  <si>
    <t>przychody z tytułu usług geodezyjno-kartograficznych</t>
  </si>
  <si>
    <t>przychody z tytułu zwrotu kosztów dotacji oświatowej</t>
  </si>
  <si>
    <t>przychody z tyt. zajęcia pasa drogowego</t>
  </si>
  <si>
    <t>przychody z tyt. opłat komunikacyjnych</t>
  </si>
  <si>
    <t>II.2.5.a. Struktura przychodów c.d.</t>
  </si>
  <si>
    <t>przychody z tytułu zezwoleń na sprzedaż alkoholu</t>
  </si>
  <si>
    <t>przychody z tytułu porozumień między gminami</t>
  </si>
  <si>
    <t>przychody z tyt. opłat i kar za usuwanie drzew i krzewów</t>
  </si>
  <si>
    <t>przychody z tyt. mandatów</t>
  </si>
  <si>
    <t>przychody z tyt. opłat za strefę płatnego parkowania</t>
  </si>
  <si>
    <t xml:space="preserve">przychody z tyt. opłat za pobyt </t>
  </si>
  <si>
    <t>przychody z tyt. odszkodowań</t>
  </si>
  <si>
    <t>przychody związane z realizacją zadań z zakresu administracji rządowej</t>
  </si>
  <si>
    <t>Pozostałe przychody, w tym:</t>
  </si>
  <si>
    <t>przychody z tytułu subwencji</t>
  </si>
  <si>
    <t>przychody z tytułu dotacji</t>
  </si>
  <si>
    <t>Przychody z tytułu dotacji i subwencji, w tym:</t>
  </si>
  <si>
    <t>udział w podatku dochodowym od osób prawnych</t>
  </si>
  <si>
    <t>udział w podatku dochodowym od osób fizycznych</t>
  </si>
  <si>
    <t>Udziały w podatkach stanowiących dochód budżetu państwa, w tym:</t>
  </si>
  <si>
    <t>inne</t>
  </si>
  <si>
    <t>opłata skarbowa</t>
  </si>
  <si>
    <t>opłata targowa</t>
  </si>
  <si>
    <t>podatek rolny, leśny</t>
  </si>
  <si>
    <t>podatek od czynności cywilno-prawnych</t>
  </si>
  <si>
    <t>podatek od środków transportu</t>
  </si>
  <si>
    <t>podatek od nieruchomości</t>
  </si>
  <si>
    <t>Podatki i opłaty lokalne, w tym:</t>
  </si>
  <si>
    <t xml:space="preserve">Przychody z tytułu dochodów budżetowych </t>
  </si>
  <si>
    <t xml:space="preserve">Dotacje na finansowanie działalności podstawowej </t>
  </si>
  <si>
    <t xml:space="preserve">Przychody netto ze sprzedaży towarów i materiałów </t>
  </si>
  <si>
    <t xml:space="preserve">Koszt wytworzenia produktów na własne potrzeby jednostki </t>
  </si>
  <si>
    <t>Zmiana stanu produktów (zwiększenie-wartość dodatnia, zmniejszenie-wartość ujemna)</t>
  </si>
  <si>
    <t>inne (służebność gruntowa, rekompensata z tyt. utraty wartości nieruchomości, itd.)</t>
  </si>
  <si>
    <t>przychody z tytułu inwestycji liniowych</t>
  </si>
  <si>
    <t>dotacje przedmiotowe i podmiotowe na pierwsze wyposażenie dla samorządowych zakładów budżetowych</t>
  </si>
  <si>
    <t>sprzedaż usług</t>
  </si>
  <si>
    <t>przychody z tyt. opłat za żywienie związane z działalnością statutową</t>
  </si>
  <si>
    <t>przychody z tyt. opłaty za bezumowne korzystanie z gruntu</t>
  </si>
  <si>
    <t>opłaty za zarząd i użytkowanie wieczyste</t>
  </si>
  <si>
    <t>przychody z najmu i dzierżawy mienia związane z działalnością statutową</t>
  </si>
  <si>
    <r>
      <t xml:space="preserve">Przychody netto ze sprzedaży produktów </t>
    </r>
    <r>
      <rPr>
        <sz val="10"/>
        <rFont val="Calibri"/>
        <family val="2"/>
        <charset val="238"/>
        <scheme val="minor"/>
      </rPr>
      <t>w tym:</t>
    </r>
  </si>
  <si>
    <t>Struktura przychodów</t>
  </si>
  <si>
    <t xml:space="preserve">II.2.5.a. Struktura przychodów </t>
  </si>
  <si>
    <t>II.2.5. Inne informacje</t>
  </si>
  <si>
    <t>Nie dotyczy.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</si>
  <si>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</si>
  <si>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wartość sprzedanego węgla</t>
  </si>
  <si>
    <t>koszty przeciwdziałania i usuwania skutków pandemii COVID-19</t>
  </si>
  <si>
    <t>koszty pomocy udzielonej obywatelom Ukrainy</t>
  </si>
  <si>
    <t>które wystąpiły incydentalnie, w tym:</t>
  </si>
  <si>
    <t>o nadzwyczajnej wartości</t>
  </si>
  <si>
    <t>przychody ze sprzedaży węgla</t>
  </si>
  <si>
    <t>przychody z tytułu środków (w tym grantów, dotacji i darowizn) otrzymanych na pomoc obywatelom Ukrainy</t>
  </si>
  <si>
    <t>przychody z tytułu środków otrzymanych na cele przeciwdziałania i usuwania skutków pandemii COVID-19</t>
  </si>
  <si>
    <t>II.2.3. Przychody lub koszty o nadzwyczajnej wartości lub które wystąpiły incydentalnie</t>
  </si>
  <si>
    <t>W 2023 r. Urząd  m.st. Warszawy nie poniósł kosztów wytworzenia środków trwałych siłami własnymi.</t>
  </si>
  <si>
    <t>( środki trwałe wytworzone siłami własnymi )</t>
  </si>
  <si>
    <t>II.2.2. Koszt wytworzenia środków trwałych w budowie poniesiony w okresie</t>
  </si>
  <si>
    <t>W 2023 r. nie wystąpiły odpisy aktualizujące wartość zapasów.</t>
  </si>
  <si>
    <t>II.2.1. Odpisy aktualizujące wartość zapasów</t>
  </si>
  <si>
    <t>Rozliczenia z tytułu środków na wydatki budżetowe i z tytułu dochodów budżetowych</t>
  </si>
  <si>
    <t>wadia i kaucje</t>
  </si>
  <si>
    <t>dochody budżetowe</t>
  </si>
  <si>
    <t>z tytułu pożyczek mieszkaniowych.</t>
  </si>
  <si>
    <t>odpis aktualizujący wartość należności dochodzonych 
na drodze sądowej</t>
  </si>
  <si>
    <t>wartość brutto</t>
  </si>
  <si>
    <t xml:space="preserve">należności dochodzone na drodze sądowej (wartość netto) </t>
  </si>
  <si>
    <t>Pozostałe należności, w tym:</t>
  </si>
  <si>
    <t>Należności z tytułu ubezpieczeń i innych świadczeń</t>
  </si>
  <si>
    <t>Należności od budżetów</t>
  </si>
  <si>
    <t>Należności z tytułu dostaw i usług</t>
  </si>
  <si>
    <t xml:space="preserve">II.1.16.b. Należności krótkoterminowe netto </t>
  </si>
  <si>
    <t>Wartość netto na koniec roku</t>
  </si>
  <si>
    <t>Wartość netto na początek roku</t>
  </si>
  <si>
    <t>Odpisy z tytułu trwałej utraty wartości na koniec roku</t>
  </si>
  <si>
    <t>Zmniejszenia</t>
  </si>
  <si>
    <t>Zwiększenia</t>
  </si>
  <si>
    <t>Odpisy z tytułu trwałej utraty wartości na początek roku</t>
  </si>
  <si>
    <t>Wartość początkowa na koniec roku</t>
  </si>
  <si>
    <t xml:space="preserve">-  przeniesienie </t>
  </si>
  <si>
    <t>-  likwidacja</t>
  </si>
  <si>
    <t>-  sprzedaż</t>
  </si>
  <si>
    <t>-  przeszacowanie</t>
  </si>
  <si>
    <t>-  przeniesienie</t>
  </si>
  <si>
    <t>-  nabycie</t>
  </si>
  <si>
    <t>-  przeszacowanie</t>
  </si>
  <si>
    <t>Wartość początkowa na początek roku</t>
  </si>
  <si>
    <t>Inne krótkoterminowe aktywa finansowe</t>
  </si>
  <si>
    <t xml:space="preserve">Inne papiery wartościowe  </t>
  </si>
  <si>
    <t xml:space="preserve">Akcje i udziały </t>
  </si>
  <si>
    <t>Środki trwałe będące w użytkowaniu przez Spółkę do czasu wniesienia ich aportem do Spółki</t>
  </si>
  <si>
    <t>Inne długoterminowe aktywa finansowe</t>
  </si>
  <si>
    <t>Inne papiery wartościowe</t>
  </si>
  <si>
    <t xml:space="preserve">Krótkoterminowe aktywa finansowe </t>
  </si>
  <si>
    <t>Nieruchomości inwestycyjne</t>
  </si>
  <si>
    <t xml:space="preserve">Długoterminowe aktywa finansowe </t>
  </si>
  <si>
    <t>Aktywa finansowe</t>
  </si>
  <si>
    <t>II.1.16.a. Inwestycje finansowe długoterminowe i krótkoterminowe - zmiany w ciągu roku obrotowego</t>
  </si>
  <si>
    <t>II.1.16. Inne informacje</t>
  </si>
  <si>
    <t>Świadczenia pracownicze</t>
  </si>
  <si>
    <t>Kwota wypłaty
 w roku bieżącym</t>
  </si>
  <si>
    <t>Kwota wypłaty
 w roku poprzednim</t>
  </si>
  <si>
    <t>II.1.15. Informacja o kwocie wypłaconych środków pieniężnych na świadczenia pracownicze</t>
  </si>
  <si>
    <t>Otrzymane poręczenia i gwarancje</t>
  </si>
  <si>
    <t xml:space="preserve">Stan na początek roku </t>
  </si>
  <si>
    <t>II.1.14. Łączna kwota otrzymanych przez jednostkę gwarancji i poręczeń niewykazanych w bilansie</t>
  </si>
  <si>
    <t>w tym: koszty mediów</t>
  </si>
  <si>
    <t xml:space="preserve">usługi wykonane a niezafakturowane </t>
  </si>
  <si>
    <t>naprawy gwarancyjne</t>
  </si>
  <si>
    <t>Rozliczenia międzyokresowe kosztów bierne</t>
  </si>
  <si>
    <t xml:space="preserve">wpłaty z ZUS za  pensjonariuszy </t>
  </si>
  <si>
    <t>sprzedaż lokali mieszkaniowych, użytkowych</t>
  </si>
  <si>
    <t>wykup lokali, budynków</t>
  </si>
  <si>
    <t>przychody z tyt. przekształcenia użytkowania wieczystego w prawo własności</t>
  </si>
  <si>
    <t>przychody z tyt. użytkowania wieczystego</t>
  </si>
  <si>
    <t>przychody za zajęcie pasa drogowego</t>
  </si>
  <si>
    <t>Rozliczenia międzyokresowe przychodów, w tym:</t>
  </si>
  <si>
    <t>Rozliczenia międzyokresowe</t>
  </si>
  <si>
    <t xml:space="preserve">II.1.13.b. Rozliczenia międzyokresowe przychodów i rozliczenia międzyokresowe bierne </t>
  </si>
  <si>
    <t xml:space="preserve">Inne </t>
  </si>
  <si>
    <t xml:space="preserve">Najem lokali </t>
  </si>
  <si>
    <t>Prenumeraty, publikatory aktów prawnych</t>
  </si>
  <si>
    <t>Ubezpieczenia</t>
  </si>
  <si>
    <t>Abonamenty</t>
  </si>
  <si>
    <t>Licencje, opłaty serwisowe, wsparcie techniczne (programy komputerowe)</t>
  </si>
  <si>
    <t>Koszty mediów, dystrybucja energii</t>
  </si>
  <si>
    <t>Koszty konserwacji i remontów</t>
  </si>
  <si>
    <t>Druki komunikacyjne i tablice rejestracyjne</t>
  </si>
  <si>
    <t>Czynne rozliczenia międzyokresowe kosztów stanowiące różnicę między wartością otrzymanych finansowych składników aktywów a zobowiązaniem zapłaty za nie</t>
  </si>
  <si>
    <t>Razem krótkoterminowe</t>
  </si>
  <si>
    <t>Prenumeraty</t>
  </si>
  <si>
    <t>Razem długoterminowe</t>
  </si>
  <si>
    <t>Rozliczenia międzyokresowe czynne</t>
  </si>
  <si>
    <t xml:space="preserve">II.1.13.a. Rozliczenia międzyokresowe czynne </t>
  </si>
  <si>
    <t>inne sprawy sporne</t>
  </si>
  <si>
    <t>zobowiązania warunkowe z tytułu zasiedzeń</t>
  </si>
  <si>
    <t>na odszkodowania z tytułu bezumownego korzystania z nieruchomości</t>
  </si>
  <si>
    <t xml:space="preserve">za grunty przejęte pod drogi w oparciu o tzw. Specustawę </t>
  </si>
  <si>
    <t>za grunty zajęte pod drogi</t>
  </si>
  <si>
    <t xml:space="preserve">na odszkodowania związane z uchwaleniem planu miejscowego zagospodarowania </t>
  </si>
  <si>
    <t>na odszkodowania za nieruchomości warszawskie (DEKRET BIERUTA z dnia 26 października 1945 r.)</t>
  </si>
  <si>
    <t xml:space="preserve">za wywłaszczenie nieruchomości  </t>
  </si>
  <si>
    <t xml:space="preserve">za grunty wydzielone pod drogi </t>
  </si>
  <si>
    <t>na odszkodowania z tytułu naruszenia zasady pierwszeństwa</t>
  </si>
  <si>
    <t>Kategoria</t>
  </si>
  <si>
    <t xml:space="preserve">II.1.12.b. Wykaz spraw spornych z tytułu zobowiązań warunkowych </t>
  </si>
  <si>
    <t>Umowy wsparcia</t>
  </si>
  <si>
    <t>Z tytułu zawartej, lecz jeszcze niewykonanej umowy</t>
  </si>
  <si>
    <t xml:space="preserve">Nieuznane roszczenia wierzycieli </t>
  </si>
  <si>
    <t xml:space="preserve">Kaucje i wadia </t>
  </si>
  <si>
    <t>Gwarancje</t>
  </si>
  <si>
    <t>utworzone rezerwy bilansowe</t>
  </si>
  <si>
    <r>
      <t>Poręczenia</t>
    </r>
    <r>
      <rPr>
        <sz val="10"/>
        <color indexed="8"/>
        <rFont val="Calibri"/>
        <family val="2"/>
        <charset val="238"/>
        <scheme val="minor"/>
      </rPr>
      <t>, w tym:</t>
    </r>
  </si>
  <si>
    <t>Zabezpieczenie umowy pożyczki nr ENERG/03/06/2021 z Mazowieckiego Regionalnego Funduszu Pożyczkowego Sp. z o.o. W 2022 roku wykazano zabezpieczenie środków otrzymanych z Ministerstwa Kultury i Dziedzictwa Narodowego na rezlizację projektu pn. Renowacja i adaptacja na cele kulturalne piwnic Stromiejskich Warszawy na obszarze wpisu na listę Światowego dziedzictwa UNESCO w ramach umowy nr 39/PL0236/NMF/2018 .</t>
  </si>
  <si>
    <t>Zabezpieczenia w postaci weksli</t>
  </si>
  <si>
    <t>Opis charakteru zobowiązania warunkowego, w tym czy zabezpieczone na majątku jednostki</t>
  </si>
  <si>
    <t>Tytuł</t>
  </si>
  <si>
    <t xml:space="preserve">II.1.12.a. Pozabilansowe zabezpieczenia, w tym również udzielone przez jednostkę gwarancje i poręczenia, także wekslowe </t>
  </si>
  <si>
    <t>W 2023 roku nie wystąpiły zobowiązania zabezpieczone na majątku jednostki.</t>
  </si>
  <si>
    <t>II.1.11. Zobowiązania zabezpieczone na majątku jednostki</t>
  </si>
  <si>
    <t>Nie wystąpiły przypadki kwalifikowania umów leasingu zgodnie z przepisami podatkowymi.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</si>
  <si>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</si>
  <si>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·            powyżej 5 lat</t>
  </si>
  <si>
    <t>·            powyżej 3 do 5 lat</t>
  </si>
  <si>
    <t>·            powyżej 1 roku do 3 lat</t>
  </si>
  <si>
    <t>Pozostałe zobowiązania długoterminowe  wobec pozostałych jednostek</t>
  </si>
  <si>
    <t>Pozostałe zobowiązania długoterminowe wobec jednostek powiązanych</t>
  </si>
  <si>
    <t>Zobowiązania finansowe</t>
  </si>
  <si>
    <t xml:space="preserve">II.1.9. Zobowiązania długoterminowe według zapadalności </t>
  </si>
  <si>
    <t>Inne rezerwy</t>
  </si>
  <si>
    <t>Rezerwy na odszkodowania z tytułu bezumownego korzystania z nieruchomości</t>
  </si>
  <si>
    <r>
      <t>Rezerwy za grunty przejęte pod drogi w oparciu o tzw. Specustawę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</si>
  <si>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 xml:space="preserve">Rezerwy za grunty zajęte pod drogi </t>
  </si>
  <si>
    <t xml:space="preserve">Rezerwy na odszkodowania związane z uchwaleniem planu miejscowego zagospodarowania </t>
  </si>
  <si>
    <r>
      <t xml:space="preserve">Rezerwy na odszkodowania za nieruchomości warszawskie </t>
    </r>
    <r>
      <rPr>
        <sz val="10"/>
        <rFont val="Calibri"/>
        <family val="2"/>
        <charset val="238"/>
        <scheme val="minor"/>
      </rPr>
      <t xml:space="preserve">(DEKRET BIERUTA z dnia 26 października 1945 r.) </t>
    </r>
    <r>
      <rPr>
        <b/>
        <sz val="10"/>
        <rFont val="Book Antiqua"/>
        <family val="1"/>
        <charset val="238"/>
      </rPr>
      <t/>
    </r>
  </si>
  <si>
    <t xml:space="preserve">Rezerwy za wywłaszczenie nieruchomości  </t>
  </si>
  <si>
    <t xml:space="preserve">Rezerwy za grunty wydzielone pod drogi </t>
  </si>
  <si>
    <t>Rezerwy na odszkodowania z tytułu naruszenia zasady pierwszeństwa</t>
  </si>
  <si>
    <t>Rezerwa na straty z tytułu udzielonych gwarancji i poręczeń</t>
  </si>
  <si>
    <t>Rozwiązane</t>
  </si>
  <si>
    <t>Wykorzystane</t>
  </si>
  <si>
    <t>Utworzone</t>
  </si>
  <si>
    <t xml:space="preserve">II.1.8. Rezerwy na zobowiązania - zmiany w ciągu roku obrotowego </t>
  </si>
  <si>
    <t>Należności alimentacyjne</t>
  </si>
  <si>
    <t>3</t>
  </si>
  <si>
    <t>w tym: należności finansowe (pożyczki zagrożone)</t>
  </si>
  <si>
    <t>Należności krótkoterminowe</t>
  </si>
  <si>
    <t>2</t>
  </si>
  <si>
    <t>Należności długoterminowe</t>
  </si>
  <si>
    <t>Rozwiązanie</t>
  </si>
  <si>
    <t>Wykorzystanie</t>
  </si>
  <si>
    <t>Zmiany stanu odpisów w ciągu roku obrotowego</t>
  </si>
  <si>
    <t>Wyszczególnienie odpisów z tytułu</t>
  </si>
  <si>
    <t xml:space="preserve">II.1.7. Odpisy aktualizujące wartość należności </t>
  </si>
  <si>
    <t>inne (poniżej 20%)</t>
  </si>
  <si>
    <t>Mazowiecki Fundusz Poręczeń Kredytowych Sp. z o.o.</t>
  </si>
  <si>
    <t>Country House U.A. Sp. z o.o. w likwidacji</t>
  </si>
  <si>
    <t>Sedeco Sp. z o.o.</t>
  </si>
  <si>
    <t>Szpital Wolski im. Anny Gostyńskiej Sp. z o.o.</t>
  </si>
  <si>
    <t>Szybka Kolej Miejska Sp. z o.o.</t>
  </si>
  <si>
    <t>"WAREXPO" Sp. z o.o.</t>
  </si>
  <si>
    <t xml:space="preserve">Miejskie Przedsiębiorstwo Wodociągów i Kanalizacji w m.st. Warszawie SA </t>
  </si>
  <si>
    <t>Kapitały własne na dzień 31 grudnia poprzedniego roku</t>
  </si>
  <si>
    <t>Zysk/(strata) netto za rok zakończony dnia 31 grudnia poprzedniego roku</t>
  </si>
  <si>
    <t>Wartość bilansowa udziałów/akcji</t>
  </si>
  <si>
    <t>Odpis</t>
  </si>
  <si>
    <t>Wartość brutto udziałów/ akcji</t>
  </si>
  <si>
    <t>Udział w kapitale własnym (%)</t>
  </si>
  <si>
    <t>Liczba udziałów / akcji</t>
  </si>
  <si>
    <t>Nazwa podmiotów</t>
  </si>
  <si>
    <t>II.1.6. Liczba i wartość posiadanych akcji i udziałów c.d.</t>
  </si>
  <si>
    <t>Kapitały własne na dzień 31 grudnia bieżącego roku</t>
  </si>
  <si>
    <t>Zysk/(strata) netto za rok zakończony dnia 31 grudnia bieżącego roku</t>
  </si>
  <si>
    <t xml:space="preserve"> </t>
  </si>
  <si>
    <t>II.1.6. Liczba i wartość posiadanych akcji i udziałów</t>
  </si>
  <si>
    <t>Inne środki trwałe</t>
  </si>
  <si>
    <t>Środki transportu</t>
  </si>
  <si>
    <t>Urządzenia techniczne i maszyny</t>
  </si>
  <si>
    <t>Budynki, lokale i obiekty inżynierii lądowej i wodnej</t>
  </si>
  <si>
    <t>Grunty</t>
  </si>
  <si>
    <t>w tym:</t>
  </si>
  <si>
    <t>Wartość nieamortyzowanych lub nieumarzanych przez jednostkę środków trwałych, używanych na podstawie umów najmu, dzierżawy i innych umów, w tym z tytułu umów leasingu (ewidencja pozabilansowa)</t>
  </si>
  <si>
    <t xml:space="preserve">II.1.5.Wartość nieamortyzowanych lub nieumarzanych przez jednostkę środków trwałych, używanych na podstawie umów najmu, dzierżawy i innych umów, w tym z tytułu umów leasingu </t>
  </si>
  <si>
    <t>Wartość gruntów użytkowanych wieczyście</t>
  </si>
  <si>
    <t>Treść</t>
  </si>
  <si>
    <t xml:space="preserve">II.1.4. Grunty użytkowane wieczyście </t>
  </si>
  <si>
    <t>Kwota zmniejszeń odpisów aktualizujących w trakcie roku obrotowego</t>
  </si>
  <si>
    <t>Kwota dokonanych w trakcie roku obrotowego odpisów aktualizujących</t>
  </si>
  <si>
    <t>Inne  papiery wartościowe</t>
  </si>
  <si>
    <t>Akcje i udziały</t>
  </si>
  <si>
    <t>Wartość mienia zlikwidowanych jednostek</t>
  </si>
  <si>
    <t>Rzeczowe aktywa trwałe</t>
  </si>
  <si>
    <t>Wartości niematerialne i prawne</t>
  </si>
  <si>
    <t>Długoterminowe aktywa finansowe</t>
  </si>
  <si>
    <t>Długoterminowe aktywa niefinansowe</t>
  </si>
  <si>
    <t xml:space="preserve"> II.1.3. Odpisy aktualizujące wartość długoterminowych aktywów</t>
  </si>
  <si>
    <t>W rezultacie odstąpiono od pozyskiwania tego typu danych.</t>
  </si>
  <si>
    <t xml:space="preserve">Z uwagi na znaczącą ilość składników mienia stanowiących środki trwałe gromadzenie informacji o ich aktualnej wartości rynkowej wymagałoby poniesienia istotnych kosztów. </t>
  </si>
  <si>
    <t xml:space="preserve">II.1.2. Aktualna wartość rynkowa środków trwałych, o ile jednostka dysponuje takimi informacjami </t>
  </si>
  <si>
    <t>Stan na  koniec roku</t>
  </si>
  <si>
    <t>Wartość netto</t>
  </si>
  <si>
    <t>Odpisy na koniec roku</t>
  </si>
  <si>
    <t>Odpisy na początek roku</t>
  </si>
  <si>
    <t xml:space="preserve">Odpisy aktualizujące </t>
  </si>
  <si>
    <t>3. Inne (likwidacja)</t>
  </si>
  <si>
    <t xml:space="preserve">2. Przekazanie </t>
  </si>
  <si>
    <t>1. Sprzedaż</t>
  </si>
  <si>
    <t>2. Inne</t>
  </si>
  <si>
    <t>1. Zakup</t>
  </si>
  <si>
    <t>Wartość początkowa</t>
  </si>
  <si>
    <t>Ogółem</t>
  </si>
  <si>
    <t>Zabytki archeologiczne (w szczególności: pozostałości terenowe pradziejowego i historycznego osadnictwa, kurhany, relikty działalności gospodarczej, religijnej i artystycznej)</t>
  </si>
  <si>
    <t>Zabytki nieruchome (w szczególności: dzieła architektury i budownictwa, pomniki, tablice pamiątkowe, cmentarze, parki i ogrody, obiekty techniki)</t>
  </si>
  <si>
    <t>Zabytki ruchome (w szczególności: dzieła sztuk plastycznych, rzemiosła artystycznego, numizmaty, pamiątki historyczne, materiały biblioteczne, instrumenty muzyczne, wytwory sztuki ludowej)</t>
  </si>
  <si>
    <t xml:space="preserve">II.1.1.c. Informacja o zasobach dóbr kultury (zabytkach) </t>
  </si>
  <si>
    <t>Odpisy aktualizujące</t>
  </si>
  <si>
    <t>Likwidacja i sprzedaż</t>
  </si>
  <si>
    <t>Zmniejszenia, w tym:</t>
  </si>
  <si>
    <t>Amortyzacja okresu</t>
  </si>
  <si>
    <t>Zwiększenia, w tym:</t>
  </si>
  <si>
    <t>Umorzenie</t>
  </si>
  <si>
    <t>Nabycie</t>
  </si>
  <si>
    <t>Wartości niematerialne i prawne ogółem</t>
  </si>
  <si>
    <t xml:space="preserve">II.1.1.b. Wartości niematerialne i prawne  - zmiany w ciągu roku obrotowego </t>
  </si>
  <si>
    <t>Przemieszczenia</t>
  </si>
  <si>
    <t>RAZEM</t>
  </si>
  <si>
    <t>Środki trwałe w budowie (inwestycje) oraz zaliczki na poczet inwestycji</t>
  </si>
  <si>
    <t>w tym: Grunty stanowiące własność jednostki samorządu terytorialnego, przekazane w użytkowanie wieczyste innym podmiotom</t>
  </si>
  <si>
    <t>Rzeczowy majątek trwały</t>
  </si>
  <si>
    <t>ŚRODKI TRWAŁE</t>
  </si>
  <si>
    <t xml:space="preserve">II.1.1.a. Rzeczowy majątek trwały - zmiany w ciągu roku obrotowego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</si>
</sst>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yyyy\-mm\-dd;@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name val="Arial CE"/>
      <charset val="238"/>
    </font>
    <font>
      <sz val="10"/>
      <color indexed="12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b/>
      <u/>
      <sz val="10"/>
      <name val="Calibri"/>
      <family val="2"/>
      <charset val="238"/>
      <scheme val="minor"/>
    </font>
    <font>
      <b/>
      <sz val="10"/>
      <name val="Book Antiqua"/>
      <family val="1"/>
      <charset val="238"/>
    </font>
    <font>
      <i/>
      <sz val="10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u/>
      <sz val="10"/>
      <color indexed="8"/>
      <name val="Calibri"/>
      <family val="2"/>
      <charset val="238"/>
      <scheme val="minor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7" fillId="0" borderId="0"/>
    <xf numFmtId="0" fontId="27" fillId="0" borderId="0"/>
  </cellStyleXfs>
  <cellXfs count="853">
    <xf numFmtId="0" fontId="0" fillId="0" borderId="0" xfId="0"/>
    <xf numFmtId="0" fontId="0" fillId="2" borderId="1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top" wrapText="1"/>
    </xf>
    <xf numFmtId="0" fontId="0" fillId="0" borderId="4" xfId="0" applyFont="1" applyBorder="1" applyAlignment="1">
      <alignment wrapText="1"/>
    </xf>
    <xf numFmtId="0" fontId="4" fillId="0" borderId="0" xfId="0" applyFont="1"/>
    <xf numFmtId="0" fontId="0" fillId="0" borderId="0" xfId="0" applyFont="1"/>
    <xf numFmtId="0" fontId="0" fillId="2" borderId="5" xfId="0" applyFont="1" applyFill="1" applyBorder="1" applyAlignment="1">
      <alignment horizontal="left" vertical="top" wrapText="1"/>
    </xf>
    <xf numFmtId="0" fontId="0" fillId="0" borderId="6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2" borderId="6" xfId="0" applyFont="1" applyFill="1" applyBorder="1" applyAlignment="1">
      <alignment horizontal="left" vertical="top" wrapText="1"/>
    </xf>
    <xf numFmtId="0" fontId="0" fillId="0" borderId="7" xfId="0" applyFont="1" applyBorder="1" applyAlignment="1">
      <alignment wrapText="1"/>
    </xf>
    <xf numFmtId="0" fontId="0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wrapText="1"/>
    </xf>
    <xf numFmtId="0" fontId="0" fillId="2" borderId="8" xfId="0" applyFont="1" applyFill="1" applyBorder="1" applyAlignment="1">
      <alignment horizontal="left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wrapText="1"/>
    </xf>
    <xf numFmtId="0" fontId="0" fillId="0" borderId="11" xfId="0" applyFont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wrapText="1"/>
    </xf>
    <xf numFmtId="4" fontId="4" fillId="0" borderId="0" xfId="0" applyNumberFormat="1" applyFont="1"/>
    <xf numFmtId="4" fontId="0" fillId="0" borderId="0" xfId="0" applyNumberFormat="1" applyFont="1"/>
    <xf numFmtId="0" fontId="3" fillId="2" borderId="14" xfId="0" applyFont="1" applyFill="1" applyBorder="1" applyAlignment="1">
      <alignment wrapText="1"/>
    </xf>
    <xf numFmtId="4" fontId="3" fillId="2" borderId="14" xfId="0" applyNumberFormat="1" applyFont="1" applyFill="1" applyBorder="1" applyAlignment="1">
      <alignment horizontal="right"/>
    </xf>
    <xf numFmtId="0" fontId="0" fillId="2" borderId="14" xfId="0" applyFont="1" applyFill="1" applyBorder="1" applyAlignment="1">
      <alignment wrapText="1"/>
    </xf>
    <xf numFmtId="4" fontId="0" fillId="2" borderId="14" xfId="0" applyNumberFormat="1" applyFont="1" applyFill="1" applyBorder="1" applyAlignment="1">
      <alignment horizontal="right"/>
    </xf>
    <xf numFmtId="4" fontId="3" fillId="2" borderId="14" xfId="0" applyNumberFormat="1" applyFont="1" applyFill="1" applyBorder="1" applyAlignment="1">
      <alignment wrapText="1"/>
    </xf>
    <xf numFmtId="4" fontId="3" fillId="2" borderId="14" xfId="0" applyNumberFormat="1" applyFont="1" applyFill="1" applyBorder="1"/>
    <xf numFmtId="4" fontId="0" fillId="0" borderId="14" xfId="0" applyNumberFormat="1" applyFont="1" applyFill="1" applyBorder="1" applyAlignment="1">
      <alignment horizontal="right"/>
    </xf>
    <xf numFmtId="4" fontId="0" fillId="2" borderId="14" xfId="0" applyNumberFormat="1" applyFont="1" applyFill="1" applyBorder="1" applyAlignment="1">
      <alignment horizontal="right" wrapText="1"/>
    </xf>
    <xf numFmtId="4" fontId="0" fillId="2" borderId="14" xfId="0" applyNumberFormat="1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4" fontId="3" fillId="2" borderId="15" xfId="0" applyNumberFormat="1" applyFont="1" applyFill="1" applyBorder="1" applyAlignment="1">
      <alignment horizontal="right"/>
    </xf>
    <xf numFmtId="0" fontId="0" fillId="2" borderId="15" xfId="0" applyFont="1" applyFill="1" applyBorder="1" applyAlignment="1">
      <alignment wrapText="1"/>
    </xf>
    <xf numFmtId="4" fontId="0" fillId="2" borderId="15" xfId="0" applyNumberFormat="1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4" fontId="3" fillId="2" borderId="12" xfId="0" applyNumberFormat="1" applyFont="1" applyFill="1" applyBorder="1" applyAlignment="1">
      <alignment horizontal="right"/>
    </xf>
    <xf numFmtId="0" fontId="0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" fontId="4" fillId="0" borderId="0" xfId="0" applyNumberFormat="1" applyFont="1" applyBorder="1" applyAlignment="1">
      <alignment wrapText="1"/>
    </xf>
    <xf numFmtId="0" fontId="5" fillId="0" borderId="0" xfId="0" applyFont="1"/>
    <xf numFmtId="0" fontId="0" fillId="0" borderId="0" xfId="0" applyFont="1" applyBorder="1" applyAlignment="1">
      <alignment wrapText="1"/>
    </xf>
    <xf numFmtId="164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14" fontId="0" fillId="0" borderId="0" xfId="0" applyNumberFormat="1" applyFont="1"/>
    <xf numFmtId="14" fontId="0" fillId="0" borderId="0" xfId="0" applyNumberFormat="1" applyFont="1" applyFill="1"/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wrapText="1"/>
    </xf>
    <xf numFmtId="0" fontId="0" fillId="2" borderId="21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0" fillId="0" borderId="0" xfId="0" applyFont="1" applyBorder="1"/>
    <xf numFmtId="0" fontId="3" fillId="2" borderId="22" xfId="0" applyFont="1" applyFill="1" applyBorder="1" applyAlignment="1">
      <alignment wrapText="1"/>
    </xf>
    <xf numFmtId="0" fontId="3" fillId="2" borderId="23" xfId="0" applyFont="1" applyFill="1" applyBorder="1" applyAlignment="1">
      <alignment wrapText="1"/>
    </xf>
    <xf numFmtId="4" fontId="3" fillId="2" borderId="24" xfId="0" applyNumberFormat="1" applyFont="1" applyFill="1" applyBorder="1" applyAlignment="1">
      <alignment horizontal="right"/>
    </xf>
    <xf numFmtId="4" fontId="5" fillId="0" borderId="0" xfId="0" applyNumberFormat="1" applyFont="1"/>
    <xf numFmtId="4" fontId="2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0" fontId="0" fillId="2" borderId="25" xfId="0" applyFont="1" applyFill="1" applyBorder="1" applyAlignment="1">
      <alignment wrapText="1"/>
    </xf>
    <xf numFmtId="0" fontId="0" fillId="2" borderId="26" xfId="0" applyFont="1" applyFill="1" applyBorder="1" applyAlignment="1">
      <alignment wrapText="1"/>
    </xf>
    <xf numFmtId="4" fontId="4" fillId="0" borderId="0" xfId="0" applyNumberFormat="1" applyFont="1" applyFill="1" applyBorder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3" fillId="2" borderId="25" xfId="0" applyFont="1" applyFill="1" applyBorder="1" applyAlignment="1">
      <alignment wrapText="1"/>
    </xf>
    <xf numFmtId="0" fontId="3" fillId="2" borderId="26" xfId="0" applyFont="1" applyFill="1" applyBorder="1" applyAlignment="1">
      <alignment wrapText="1"/>
    </xf>
    <xf numFmtId="0" fontId="3" fillId="2" borderId="27" xfId="0" applyFont="1" applyFill="1" applyBorder="1" applyAlignment="1">
      <alignment wrapText="1"/>
    </xf>
    <xf numFmtId="0" fontId="3" fillId="2" borderId="28" xfId="0" applyFont="1" applyFill="1" applyBorder="1" applyAlignment="1">
      <alignment wrapText="1"/>
    </xf>
    <xf numFmtId="4" fontId="0" fillId="2" borderId="15" xfId="0" applyNumberFormat="1" applyFont="1" applyFill="1" applyBorder="1" applyAlignment="1">
      <alignment horizontal="right"/>
    </xf>
    <xf numFmtId="0" fontId="3" fillId="2" borderId="20" xfId="0" applyFont="1" applyFill="1" applyBorder="1" applyAlignment="1">
      <alignment wrapText="1"/>
    </xf>
    <xf numFmtId="0" fontId="3" fillId="2" borderId="21" xfId="0" applyFont="1" applyFill="1" applyBorder="1" applyAlignment="1">
      <alignment wrapText="1"/>
    </xf>
    <xf numFmtId="14" fontId="0" fillId="3" borderId="0" xfId="0" applyNumberFormat="1" applyFont="1" applyFill="1"/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horizontal="left" wrapText="1"/>
    </xf>
    <xf numFmtId="0" fontId="0" fillId="2" borderId="8" xfId="0" applyFont="1" applyFill="1" applyBorder="1" applyAlignment="1">
      <alignment horizontal="left" wrapText="1"/>
    </xf>
    <xf numFmtId="0" fontId="0" fillId="2" borderId="27" xfId="0" applyFont="1" applyFill="1" applyBorder="1" applyAlignment="1">
      <alignment wrapText="1"/>
    </xf>
    <xf numFmtId="0" fontId="0" fillId="2" borderId="28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4" fontId="0" fillId="2" borderId="0" xfId="0" applyNumberFormat="1" applyFont="1" applyFill="1" applyBorder="1" applyAlignment="1">
      <alignment wrapText="1"/>
    </xf>
    <xf numFmtId="4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/>
    <xf numFmtId="0" fontId="7" fillId="0" borderId="0" xfId="0" applyFont="1"/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14" fontId="7" fillId="0" borderId="0" xfId="0" applyNumberFormat="1" applyFont="1" applyBorder="1" applyAlignment="1">
      <alignment horizontal="center" wrapText="1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 indent="3"/>
    </xf>
    <xf numFmtId="4" fontId="6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3" fontId="6" fillId="0" borderId="12" xfId="0" applyNumberFormat="1" applyFont="1" applyBorder="1" applyAlignment="1">
      <alignment vertical="center" wrapText="1"/>
    </xf>
    <xf numFmtId="3" fontId="6" fillId="0" borderId="29" xfId="0" applyNumberFormat="1" applyFont="1" applyBorder="1" applyAlignment="1">
      <alignment vertical="center" wrapText="1"/>
    </xf>
    <xf numFmtId="4" fontId="6" fillId="0" borderId="21" xfId="0" applyNumberFormat="1" applyFont="1" applyBorder="1" applyAlignment="1">
      <alignment vertical="center" wrapText="1"/>
    </xf>
    <xf numFmtId="4" fontId="6" fillId="0" borderId="20" xfId="0" applyNumberFormat="1" applyFont="1" applyBorder="1" applyAlignment="1">
      <alignment vertical="center" wrapText="1"/>
    </xf>
    <xf numFmtId="4" fontId="8" fillId="4" borderId="12" xfId="0" applyNumberFormat="1" applyFont="1" applyFill="1" applyBorder="1" applyAlignment="1">
      <alignment horizontal="center" vertical="center" wrapText="1"/>
    </xf>
    <xf numFmtId="4" fontId="8" fillId="5" borderId="21" xfId="0" applyNumberFormat="1" applyFont="1" applyFill="1" applyBorder="1" applyAlignment="1">
      <alignment horizontal="center" vertical="center" wrapText="1"/>
    </xf>
    <xf numFmtId="4" fontId="8" fillId="5" borderId="2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wrapText="1"/>
    </xf>
    <xf numFmtId="4" fontId="8" fillId="0" borderId="0" xfId="0" applyNumberFormat="1" applyFont="1" applyAlignment="1">
      <alignment horizontal="left" vertical="center" wrapText="1"/>
    </xf>
    <xf numFmtId="4" fontId="8" fillId="4" borderId="12" xfId="0" applyNumberFormat="1" applyFont="1" applyFill="1" applyBorder="1" applyAlignment="1" applyProtection="1">
      <alignment vertical="center"/>
    </xf>
    <xf numFmtId="4" fontId="8" fillId="4" borderId="20" xfId="0" applyNumberFormat="1" applyFont="1" applyFill="1" applyBorder="1" applyAlignment="1" applyProtection="1">
      <alignment vertical="center"/>
    </xf>
    <xf numFmtId="4" fontId="8" fillId="5" borderId="21" xfId="0" applyNumberFormat="1" applyFont="1" applyFill="1" applyBorder="1" applyAlignment="1">
      <alignment vertical="center"/>
    </xf>
    <xf numFmtId="4" fontId="8" fillId="5" borderId="20" xfId="0" applyNumberFormat="1" applyFont="1" applyFill="1" applyBorder="1" applyAlignment="1">
      <alignment vertical="center"/>
    </xf>
    <xf numFmtId="4" fontId="6" fillId="0" borderId="30" xfId="0" applyNumberFormat="1" applyFont="1" applyFill="1" applyBorder="1" applyAlignment="1" applyProtection="1">
      <alignment vertical="center"/>
      <protection locked="0"/>
    </xf>
    <xf numFmtId="4" fontId="6" fillId="0" borderId="31" xfId="0" applyNumberFormat="1" applyFont="1" applyFill="1" applyBorder="1" applyAlignment="1" applyProtection="1">
      <alignment vertical="center"/>
      <protection locked="0"/>
    </xf>
    <xf numFmtId="4" fontId="6" fillId="0" borderId="32" xfId="0" applyNumberFormat="1" applyFont="1" applyFill="1" applyBorder="1" applyAlignment="1">
      <alignment horizontal="left" vertical="center" wrapText="1"/>
    </xf>
    <xf numFmtId="4" fontId="6" fillId="0" borderId="33" xfId="0" applyNumberFormat="1" applyFont="1" applyFill="1" applyBorder="1" applyAlignment="1">
      <alignment horizontal="left" vertical="center" wrapText="1"/>
    </xf>
    <xf numFmtId="4" fontId="6" fillId="0" borderId="34" xfId="0" applyNumberFormat="1" applyFont="1" applyFill="1" applyBorder="1" applyAlignment="1">
      <alignment horizontal="left" vertical="center" wrapText="1"/>
    </xf>
    <xf numFmtId="4" fontId="6" fillId="0" borderId="35" xfId="0" applyNumberFormat="1" applyFont="1" applyFill="1" applyBorder="1" applyAlignment="1">
      <alignment horizontal="left" vertical="center" wrapText="1"/>
    </xf>
    <xf numFmtId="4" fontId="6" fillId="0" borderId="34" xfId="0" applyNumberFormat="1" applyFont="1" applyFill="1" applyBorder="1" applyAlignment="1">
      <alignment horizontal="left" vertical="center" wrapText="1" indent="1"/>
    </xf>
    <xf numFmtId="4" fontId="6" fillId="0" borderId="35" xfId="0" applyNumberFormat="1" applyFont="1" applyFill="1" applyBorder="1" applyAlignment="1">
      <alignment horizontal="left" vertical="center" wrapText="1" indent="1"/>
    </xf>
    <xf numFmtId="4" fontId="6" fillId="0" borderId="36" xfId="0" applyNumberFormat="1" applyFont="1" applyFill="1" applyBorder="1" applyAlignment="1" applyProtection="1">
      <alignment vertical="center"/>
      <protection locked="0"/>
    </xf>
    <xf numFmtId="4" fontId="6" fillId="0" borderId="37" xfId="0" applyNumberFormat="1" applyFont="1" applyFill="1" applyBorder="1" applyAlignment="1">
      <alignment horizontal="left" vertical="center" wrapText="1" indent="1"/>
    </xf>
    <xf numFmtId="4" fontId="6" fillId="0" borderId="31" xfId="0" applyNumberFormat="1" applyFont="1" applyFill="1" applyBorder="1" applyAlignment="1">
      <alignment horizontal="left" vertical="center" wrapText="1" indent="1"/>
    </xf>
    <xf numFmtId="4" fontId="6" fillId="0" borderId="38" xfId="0" applyNumberFormat="1" applyFont="1" applyFill="1" applyBorder="1" applyAlignment="1" applyProtection="1">
      <alignment vertical="center"/>
      <protection locked="0"/>
    </xf>
    <xf numFmtId="4" fontId="6" fillId="0" borderId="39" xfId="0" applyNumberFormat="1" applyFont="1" applyFill="1" applyBorder="1" applyAlignment="1">
      <alignment vertical="center" wrapText="1"/>
    </xf>
    <xf numFmtId="4" fontId="6" fillId="0" borderId="38" xfId="0" applyNumberFormat="1" applyFont="1" applyFill="1" applyBorder="1" applyAlignment="1">
      <alignment vertical="center" wrapText="1"/>
    </xf>
    <xf numFmtId="4" fontId="8" fillId="5" borderId="12" xfId="0" applyNumberFormat="1" applyFont="1" applyFill="1" applyBorder="1" applyAlignment="1">
      <alignment horizontal="center" vertical="center"/>
    </xf>
    <xf numFmtId="4" fontId="8" fillId="5" borderId="40" xfId="0" applyNumberFormat="1" applyFont="1" applyFill="1" applyBorder="1" applyAlignment="1">
      <alignment horizontal="center" vertical="center"/>
    </xf>
    <xf numFmtId="4" fontId="8" fillId="5" borderId="20" xfId="0" applyNumberFormat="1" applyFont="1" applyFill="1" applyBorder="1" applyAlignment="1">
      <alignment horizontal="center" vertical="center"/>
    </xf>
    <xf numFmtId="4" fontId="8" fillId="5" borderId="11" xfId="0" applyNumberFormat="1" applyFont="1" applyFill="1" applyBorder="1" applyAlignment="1">
      <alignment horizontal="center" vertical="center"/>
    </xf>
    <xf numFmtId="4" fontId="8" fillId="4" borderId="9" xfId="0" applyNumberFormat="1" applyFont="1" applyFill="1" applyBorder="1" applyAlignment="1">
      <alignment horizontal="center" vertical="center"/>
    </xf>
    <xf numFmtId="4" fontId="6" fillId="5" borderId="41" xfId="0" applyNumberFormat="1" applyFont="1" applyFill="1" applyBorder="1" applyAlignment="1">
      <alignment horizontal="center" vertical="center"/>
    </xf>
    <xf numFmtId="4" fontId="6" fillId="5" borderId="42" xfId="0" applyNumberFormat="1" applyFont="1" applyFill="1" applyBorder="1" applyAlignment="1">
      <alignment horizontal="center" vertical="center"/>
    </xf>
    <xf numFmtId="4" fontId="8" fillId="5" borderId="43" xfId="0" applyNumberFormat="1" applyFont="1" applyFill="1" applyBorder="1" applyAlignment="1">
      <alignment horizontal="center" vertical="center" wrapText="1"/>
    </xf>
    <xf numFmtId="4" fontId="8" fillId="5" borderId="4" xfId="0" applyNumberFormat="1" applyFont="1" applyFill="1" applyBorder="1" applyAlignment="1">
      <alignment horizontal="center" vertical="center"/>
    </xf>
    <xf numFmtId="4" fontId="8" fillId="5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vertical="center"/>
    </xf>
    <xf numFmtId="4" fontId="8" fillId="5" borderId="12" xfId="0" applyNumberFormat="1" applyFont="1" applyFill="1" applyBorder="1" applyAlignment="1" applyProtection="1">
      <alignment horizontal="right" vertical="center"/>
    </xf>
    <xf numFmtId="4" fontId="8" fillId="5" borderId="21" xfId="0" applyNumberFormat="1" applyFont="1" applyFill="1" applyBorder="1" applyAlignment="1" applyProtection="1">
      <alignment horizontal="left" vertical="center"/>
      <protection locked="0"/>
    </xf>
    <xf numFmtId="4" fontId="8" fillId="5" borderId="40" xfId="0" applyNumberFormat="1" applyFont="1" applyFill="1" applyBorder="1" applyAlignment="1" applyProtection="1">
      <alignment horizontal="left" vertical="center"/>
      <protection locked="0"/>
    </xf>
    <xf numFmtId="4" fontId="8" fillId="5" borderId="20" xfId="0" applyNumberFormat="1" applyFont="1" applyFill="1" applyBorder="1" applyAlignment="1" applyProtection="1">
      <alignment horizontal="left" vertical="center"/>
      <protection locked="0"/>
    </xf>
    <xf numFmtId="4" fontId="6" fillId="0" borderId="30" xfId="0" applyNumberFormat="1" applyFont="1" applyBorder="1" applyAlignment="1" applyProtection="1">
      <alignment vertical="center"/>
      <protection locked="0"/>
    </xf>
    <xf numFmtId="4" fontId="9" fillId="0" borderId="32" xfId="0" applyNumberFormat="1" applyFont="1" applyFill="1" applyBorder="1" applyAlignment="1" applyProtection="1">
      <alignment vertical="center"/>
      <protection locked="0"/>
    </xf>
    <xf numFmtId="4" fontId="9" fillId="0" borderId="44" xfId="0" applyNumberFormat="1" applyFont="1" applyFill="1" applyBorder="1" applyAlignment="1" applyProtection="1">
      <alignment vertical="center"/>
      <protection locked="0"/>
    </xf>
    <xf numFmtId="4" fontId="9" fillId="0" borderId="33" xfId="0" applyNumberFormat="1" applyFont="1" applyFill="1" applyBorder="1" applyAlignment="1" applyProtection="1">
      <alignment vertical="center"/>
      <protection locked="0"/>
    </xf>
    <xf numFmtId="4" fontId="9" fillId="0" borderId="34" xfId="0" applyNumberFormat="1" applyFont="1" applyFill="1" applyBorder="1" applyAlignment="1" applyProtection="1">
      <alignment vertical="center" wrapText="1"/>
      <protection locked="0"/>
    </xf>
    <xf numFmtId="4" fontId="9" fillId="0" borderId="45" xfId="0" applyNumberFormat="1" applyFont="1" applyFill="1" applyBorder="1" applyAlignment="1" applyProtection="1">
      <alignment vertical="center" wrapText="1"/>
      <protection locked="0"/>
    </xf>
    <xf numFmtId="4" fontId="9" fillId="0" borderId="35" xfId="0" applyNumberFormat="1" applyFont="1" applyFill="1" applyBorder="1" applyAlignment="1" applyProtection="1">
      <alignment vertical="center" wrapText="1"/>
      <protection locked="0"/>
    </xf>
    <xf numFmtId="4" fontId="9" fillId="0" borderId="34" xfId="0" applyNumberFormat="1" applyFont="1" applyFill="1" applyBorder="1" applyAlignment="1" applyProtection="1">
      <alignment vertical="center"/>
      <protection locked="0"/>
    </xf>
    <xf numFmtId="4" fontId="9" fillId="0" borderId="45" xfId="0" applyNumberFormat="1" applyFont="1" applyFill="1" applyBorder="1" applyAlignment="1" applyProtection="1">
      <alignment vertical="center"/>
      <protection locked="0"/>
    </xf>
    <xf numFmtId="4" fontId="9" fillId="0" borderId="35" xfId="0" applyNumberFormat="1" applyFont="1" applyFill="1" applyBorder="1" applyAlignment="1" applyProtection="1">
      <alignment vertical="center"/>
      <protection locked="0"/>
    </xf>
    <xf numFmtId="4" fontId="8" fillId="0" borderId="12" xfId="0" applyNumberFormat="1" applyFont="1" applyFill="1" applyBorder="1" applyAlignment="1" applyProtection="1">
      <alignment vertical="center"/>
    </xf>
    <xf numFmtId="4" fontId="10" fillId="0" borderId="21" xfId="0" applyNumberFormat="1" applyFont="1" applyFill="1" applyBorder="1" applyAlignment="1" applyProtection="1">
      <alignment vertical="center" wrapText="1"/>
      <protection locked="0"/>
    </xf>
    <xf numFmtId="4" fontId="10" fillId="0" borderId="40" xfId="0" applyNumberFormat="1" applyFont="1" applyFill="1" applyBorder="1" applyAlignment="1" applyProtection="1">
      <alignment vertical="center" wrapText="1"/>
      <protection locked="0"/>
    </xf>
    <xf numFmtId="4" fontId="10" fillId="0" borderId="20" xfId="0" applyNumberFormat="1" applyFont="1" applyFill="1" applyBorder="1" applyAlignment="1" applyProtection="1">
      <alignment vertical="center" wrapText="1"/>
      <protection locked="0"/>
    </xf>
    <xf numFmtId="4" fontId="6" fillId="0" borderId="46" xfId="0" applyNumberFormat="1" applyFont="1" applyBorder="1" applyAlignment="1" applyProtection="1">
      <alignment vertical="center"/>
      <protection locked="0"/>
    </xf>
    <xf numFmtId="4" fontId="9" fillId="0" borderId="7" xfId="0" applyNumberFormat="1" applyFont="1" applyFill="1" applyBorder="1" applyAlignment="1" applyProtection="1">
      <alignment vertical="center"/>
      <protection locked="0"/>
    </xf>
    <xf numFmtId="4" fontId="9" fillId="0" borderId="0" xfId="0" applyNumberFormat="1" applyFont="1" applyFill="1" applyBorder="1" applyAlignment="1" applyProtection="1">
      <alignment vertical="center"/>
      <protection locked="0"/>
    </xf>
    <xf numFmtId="4" fontId="9" fillId="0" borderId="6" xfId="0" applyNumberFormat="1" applyFont="1" applyFill="1" applyBorder="1" applyAlignment="1" applyProtection="1">
      <alignment vertical="center"/>
      <protection locked="0"/>
    </xf>
    <xf numFmtId="4" fontId="6" fillId="0" borderId="47" xfId="0" applyNumberFormat="1" applyFont="1" applyBorder="1" applyAlignment="1" applyProtection="1">
      <alignment vertical="center"/>
      <protection locked="0"/>
    </xf>
    <xf numFmtId="4" fontId="9" fillId="0" borderId="39" xfId="0" applyNumberFormat="1" applyFont="1" applyFill="1" applyBorder="1" applyAlignment="1" applyProtection="1">
      <alignment vertical="center"/>
      <protection locked="0"/>
    </xf>
    <xf numFmtId="4" fontId="9" fillId="0" borderId="48" xfId="0" applyNumberFormat="1" applyFont="1" applyFill="1" applyBorder="1" applyAlignment="1" applyProtection="1">
      <alignment vertical="center"/>
      <protection locked="0"/>
    </xf>
    <xf numFmtId="4" fontId="9" fillId="0" borderId="38" xfId="0" applyNumberFormat="1" applyFont="1" applyFill="1" applyBorder="1" applyAlignment="1" applyProtection="1">
      <alignment vertical="center"/>
      <protection locked="0"/>
    </xf>
    <xf numFmtId="4" fontId="10" fillId="5" borderId="12" xfId="0" applyNumberFormat="1" applyFont="1" applyFill="1" applyBorder="1" applyAlignment="1" applyProtection="1">
      <alignment horizontal="center" vertical="center" wrapText="1"/>
      <protection locked="0"/>
    </xf>
    <xf numFmtId="4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21" xfId="0" applyNumberFormat="1" applyFont="1" applyFill="1" applyBorder="1" applyAlignment="1" applyProtection="1">
      <alignment horizontal="center" vertical="center"/>
      <protection locked="0"/>
    </xf>
    <xf numFmtId="4" fontId="8" fillId="4" borderId="40" xfId="0" applyNumberFormat="1" applyFont="1" applyFill="1" applyBorder="1" applyAlignment="1" applyProtection="1">
      <alignment horizontal="center" vertical="center"/>
      <protection locked="0"/>
    </xf>
    <xf numFmtId="4" fontId="8" fillId="4" borderId="20" xfId="0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horizontal="left" vertical="center"/>
      <protection locked="0"/>
    </xf>
    <xf numFmtId="4" fontId="11" fillId="0" borderId="32" xfId="0" applyNumberFormat="1" applyFont="1" applyFill="1" applyBorder="1" applyAlignment="1" applyProtection="1">
      <alignment vertical="center"/>
      <protection locked="0"/>
    </xf>
    <xf numFmtId="4" fontId="11" fillId="0" borderId="44" xfId="0" applyNumberFormat="1" applyFont="1" applyFill="1" applyBorder="1" applyAlignment="1" applyProtection="1">
      <alignment vertical="center"/>
      <protection locked="0"/>
    </xf>
    <xf numFmtId="4" fontId="11" fillId="0" borderId="33" xfId="0" applyNumberFormat="1" applyFont="1" applyFill="1" applyBorder="1" applyAlignment="1" applyProtection="1">
      <alignment vertical="center"/>
      <protection locked="0"/>
    </xf>
    <xf numFmtId="4" fontId="6" fillId="0" borderId="36" xfId="0" applyNumberFormat="1" applyFont="1" applyBorder="1" applyAlignment="1" applyProtection="1">
      <alignment vertical="center"/>
      <protection locked="0"/>
    </xf>
    <xf numFmtId="4" fontId="9" fillId="0" borderId="37" xfId="0" applyNumberFormat="1" applyFont="1" applyFill="1" applyBorder="1" applyAlignment="1" applyProtection="1">
      <alignment vertical="center"/>
      <protection locked="0"/>
    </xf>
    <xf numFmtId="4" fontId="9" fillId="0" borderId="49" xfId="0" applyNumberFormat="1" applyFont="1" applyFill="1" applyBorder="1" applyAlignment="1" applyProtection="1">
      <alignment vertical="center"/>
      <protection locked="0"/>
    </xf>
    <xf numFmtId="4" fontId="9" fillId="0" borderId="31" xfId="0" applyNumberFormat="1" applyFont="1" applyFill="1" applyBorder="1" applyAlignment="1" applyProtection="1">
      <alignment vertical="center"/>
      <protection locked="0"/>
    </xf>
    <xf numFmtId="4" fontId="10" fillId="0" borderId="21" xfId="0" applyNumberFormat="1" applyFont="1" applyFill="1" applyBorder="1" applyAlignment="1" applyProtection="1">
      <alignment vertical="center"/>
      <protection locked="0"/>
    </xf>
    <xf numFmtId="4" fontId="10" fillId="0" borderId="40" xfId="0" applyNumberFormat="1" applyFont="1" applyFill="1" applyBorder="1" applyAlignment="1" applyProtection="1">
      <alignment vertical="center"/>
      <protection locked="0"/>
    </xf>
    <xf numFmtId="4" fontId="10" fillId="0" borderId="20" xfId="0" applyNumberFormat="1" applyFont="1" applyFill="1" applyBorder="1" applyAlignment="1" applyProtection="1">
      <alignment vertical="center"/>
      <protection locked="0"/>
    </xf>
    <xf numFmtId="4" fontId="9" fillId="0" borderId="7" xfId="0" applyNumberFormat="1" applyFont="1" applyFill="1" applyBorder="1" applyAlignment="1" applyProtection="1">
      <alignment vertical="center" wrapText="1"/>
      <protection locked="0"/>
    </xf>
    <xf numFmtId="4" fontId="9" fillId="0" borderId="0" xfId="0" applyNumberFormat="1" applyFont="1" applyFill="1" applyBorder="1" applyAlignment="1" applyProtection="1">
      <alignment vertical="center" wrapText="1"/>
      <protection locked="0"/>
    </xf>
    <xf numFmtId="4" fontId="9" fillId="0" borderId="6" xfId="0" applyNumberFormat="1" applyFont="1" applyFill="1" applyBorder="1" applyAlignment="1" applyProtection="1">
      <alignment vertical="center" wrapText="1"/>
      <protection locked="0"/>
    </xf>
    <xf numFmtId="4" fontId="9" fillId="0" borderId="39" xfId="0" applyNumberFormat="1" applyFont="1" applyFill="1" applyBorder="1" applyAlignment="1" applyProtection="1">
      <alignment vertical="center" wrapText="1"/>
      <protection locked="0"/>
    </xf>
    <xf numFmtId="4" fontId="9" fillId="0" borderId="48" xfId="0" applyNumberFormat="1" applyFont="1" applyFill="1" applyBorder="1" applyAlignment="1" applyProtection="1">
      <alignment vertical="center" wrapText="1"/>
      <protection locked="0"/>
    </xf>
    <xf numFmtId="4" fontId="9" fillId="0" borderId="38" xfId="0" applyNumberFormat="1" applyFont="1" applyFill="1" applyBorder="1" applyAlignment="1" applyProtection="1">
      <alignment vertical="center" wrapText="1"/>
      <protection locked="0"/>
    </xf>
    <xf numFmtId="4" fontId="10" fillId="0" borderId="11" xfId="0" applyNumberFormat="1" applyFont="1" applyFill="1" applyBorder="1" applyAlignment="1" applyProtection="1">
      <alignment vertical="center" wrapText="1"/>
      <protection locked="0"/>
    </xf>
    <xf numFmtId="4" fontId="10" fillId="0" borderId="10" xfId="0" applyNumberFormat="1" applyFont="1" applyFill="1" applyBorder="1" applyAlignment="1" applyProtection="1">
      <alignment vertical="center" wrapText="1"/>
      <protection locked="0"/>
    </xf>
    <xf numFmtId="4" fontId="10" fillId="0" borderId="9" xfId="0" applyNumberFormat="1" applyFont="1" applyFill="1" applyBorder="1" applyAlignment="1" applyProtection="1">
      <alignment vertical="center" wrapText="1"/>
      <protection locked="0"/>
    </xf>
    <xf numFmtId="4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21" xfId="0" applyNumberFormat="1" applyFont="1" applyFill="1" applyBorder="1" applyAlignment="1" applyProtection="1">
      <alignment horizontal="center" vertical="center"/>
      <protection locked="0"/>
    </xf>
    <xf numFmtId="4" fontId="10" fillId="4" borderId="40" xfId="0" applyNumberFormat="1" applyFont="1" applyFill="1" applyBorder="1" applyAlignment="1" applyProtection="1">
      <alignment horizontal="center" vertical="center"/>
      <protection locked="0"/>
    </xf>
    <xf numFmtId="4" fontId="10" fillId="4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/>
    <xf numFmtId="0" fontId="12" fillId="0" borderId="0" xfId="0" applyFont="1" applyFill="1" applyAlignment="1">
      <alignment horizontal="left"/>
    </xf>
    <xf numFmtId="4" fontId="8" fillId="4" borderId="12" xfId="0" applyNumberFormat="1" applyFont="1" applyFill="1" applyBorder="1" applyAlignment="1" applyProtection="1">
      <alignment horizontal="right" vertical="center"/>
    </xf>
    <xf numFmtId="4" fontId="8" fillId="4" borderId="21" xfId="0" applyNumberFormat="1" applyFont="1" applyFill="1" applyBorder="1" applyAlignment="1" applyProtection="1">
      <alignment horizontal="left" vertical="center"/>
      <protection locked="0"/>
    </xf>
    <xf numFmtId="4" fontId="8" fillId="4" borderId="40" xfId="0" applyNumberFormat="1" applyFont="1" applyFill="1" applyBorder="1" applyAlignment="1" applyProtection="1">
      <alignment horizontal="left" vertical="center"/>
      <protection locked="0"/>
    </xf>
    <xf numFmtId="4" fontId="8" fillId="4" borderId="20" xfId="0" applyNumberFormat="1" applyFont="1" applyFill="1" applyBorder="1" applyAlignment="1" applyProtection="1">
      <alignment horizontal="left" vertical="center"/>
      <protection locked="0"/>
    </xf>
    <xf numFmtId="4" fontId="11" fillId="0" borderId="32" xfId="0" applyNumberFormat="1" applyFont="1" applyFill="1" applyBorder="1" applyAlignment="1" applyProtection="1">
      <alignment vertical="center" wrapText="1"/>
      <protection locked="0"/>
    </xf>
    <xf numFmtId="4" fontId="11" fillId="0" borderId="44" xfId="0" applyNumberFormat="1" applyFont="1" applyFill="1" applyBorder="1" applyAlignment="1" applyProtection="1">
      <alignment vertical="center" wrapText="1"/>
      <protection locked="0"/>
    </xf>
    <xf numFmtId="4" fontId="11" fillId="0" borderId="33" xfId="0" applyNumberFormat="1" applyFont="1" applyFill="1" applyBorder="1" applyAlignment="1" applyProtection="1">
      <alignment vertical="center" wrapText="1"/>
      <protection locked="0"/>
    </xf>
    <xf numFmtId="4" fontId="11" fillId="0" borderId="34" xfId="0" applyNumberFormat="1" applyFont="1" applyFill="1" applyBorder="1" applyAlignment="1">
      <alignment vertical="center" wrapText="1"/>
    </xf>
    <xf numFmtId="4" fontId="11" fillId="0" borderId="45" xfId="0" applyNumberFormat="1" applyFont="1" applyFill="1" applyBorder="1" applyAlignment="1">
      <alignment vertical="center" wrapText="1"/>
    </xf>
    <xf numFmtId="4" fontId="11" fillId="0" borderId="35" xfId="0" applyNumberFormat="1" applyFont="1" applyFill="1" applyBorder="1" applyAlignment="1">
      <alignment vertical="center" wrapText="1"/>
    </xf>
    <xf numFmtId="4" fontId="11" fillId="0" borderId="34" xfId="0" applyNumberFormat="1" applyFont="1" applyFill="1" applyBorder="1" applyAlignment="1" applyProtection="1">
      <alignment vertical="center" wrapText="1"/>
      <protection locked="0"/>
    </xf>
    <xf numFmtId="4" fontId="11" fillId="0" borderId="45" xfId="0" applyNumberFormat="1" applyFont="1" applyFill="1" applyBorder="1" applyAlignment="1" applyProtection="1">
      <alignment vertical="center" wrapText="1"/>
      <protection locked="0"/>
    </xf>
    <xf numFmtId="4" fontId="11" fillId="0" borderId="35" xfId="0" applyNumberFormat="1" applyFont="1" applyFill="1" applyBorder="1" applyAlignment="1" applyProtection="1">
      <alignment vertical="center" wrapText="1"/>
      <protection locked="0"/>
    </xf>
    <xf numFmtId="4" fontId="8" fillId="0" borderId="36" xfId="0" applyNumberFormat="1" applyFont="1" applyFill="1" applyBorder="1" applyAlignment="1" applyProtection="1">
      <alignment vertical="center"/>
    </xf>
    <xf numFmtId="4" fontId="8" fillId="0" borderId="34" xfId="0" applyNumberFormat="1" applyFont="1" applyFill="1" applyBorder="1" applyAlignment="1" applyProtection="1">
      <alignment vertical="center"/>
      <protection locked="0"/>
    </xf>
    <xf numFmtId="4" fontId="8" fillId="0" borderId="45" xfId="0" applyNumberFormat="1" applyFont="1" applyFill="1" applyBorder="1" applyAlignment="1" applyProtection="1">
      <alignment vertical="center"/>
      <protection locked="0"/>
    </xf>
    <xf numFmtId="4" fontId="8" fillId="0" borderId="35" xfId="0" applyNumberFormat="1" applyFont="1" applyFill="1" applyBorder="1" applyAlignment="1" applyProtection="1">
      <alignment vertical="center"/>
      <protection locked="0"/>
    </xf>
    <xf numFmtId="4" fontId="6" fillId="0" borderId="36" xfId="0" applyNumberFormat="1" applyFont="1" applyFill="1" applyBorder="1" applyAlignment="1" applyProtection="1">
      <alignment vertical="center"/>
    </xf>
    <xf numFmtId="4" fontId="8" fillId="0" borderId="30" xfId="0" applyNumberFormat="1" applyFont="1" applyFill="1" applyBorder="1" applyAlignment="1" applyProtection="1">
      <alignment vertical="center"/>
    </xf>
    <xf numFmtId="4" fontId="8" fillId="0" borderId="37" xfId="0" applyNumberFormat="1" applyFont="1" applyFill="1" applyBorder="1" applyAlignment="1" applyProtection="1">
      <alignment vertical="center" wrapText="1"/>
      <protection locked="0"/>
    </xf>
    <xf numFmtId="4" fontId="8" fillId="0" borderId="49" xfId="0" applyNumberFormat="1" applyFont="1" applyFill="1" applyBorder="1" applyAlignment="1" applyProtection="1">
      <alignment vertical="center" wrapText="1"/>
      <protection locked="0"/>
    </xf>
    <xf numFmtId="4" fontId="8" fillId="0" borderId="31" xfId="0" applyNumberFormat="1" applyFont="1" applyFill="1" applyBorder="1" applyAlignment="1" applyProtection="1">
      <alignment vertical="center" wrapText="1"/>
      <protection locked="0"/>
    </xf>
    <xf numFmtId="4" fontId="8" fillId="0" borderId="47" xfId="0" applyNumberFormat="1" applyFont="1" applyBorder="1" applyAlignment="1" applyProtection="1">
      <alignment vertical="center"/>
      <protection locked="0"/>
    </xf>
    <xf numFmtId="4" fontId="10" fillId="0" borderId="39" xfId="0" applyNumberFormat="1" applyFont="1" applyFill="1" applyBorder="1" applyAlignment="1" applyProtection="1">
      <alignment vertical="center" wrapText="1"/>
      <protection locked="0"/>
    </xf>
    <xf numFmtId="4" fontId="10" fillId="0" borderId="48" xfId="0" applyNumberFormat="1" applyFont="1" applyFill="1" applyBorder="1" applyAlignment="1" applyProtection="1">
      <alignment vertical="center" wrapText="1"/>
      <protection locked="0"/>
    </xf>
    <xf numFmtId="4" fontId="10" fillId="0" borderId="38" xfId="0" applyNumberFormat="1" applyFont="1" applyFill="1" applyBorder="1" applyAlignment="1" applyProtection="1">
      <alignment vertical="center" wrapText="1"/>
      <protection locked="0"/>
    </xf>
    <xf numFmtId="4" fontId="8" fillId="0" borderId="12" xfId="0" applyNumberFormat="1" applyFont="1" applyBorder="1" applyAlignment="1" applyProtection="1">
      <alignment vertical="center"/>
      <protection locked="0"/>
    </xf>
    <xf numFmtId="4" fontId="10" fillId="0" borderId="21" xfId="0" applyNumberFormat="1" applyFont="1" applyBorder="1" applyAlignment="1" applyProtection="1">
      <alignment horizontal="left" vertical="center" wrapText="1"/>
      <protection locked="0"/>
    </xf>
    <xf numFmtId="4" fontId="10" fillId="0" borderId="40" xfId="0" applyNumberFormat="1" applyFont="1" applyBorder="1" applyAlignment="1" applyProtection="1">
      <alignment horizontal="left" vertical="center" wrapText="1"/>
      <protection locked="0"/>
    </xf>
    <xf numFmtId="4" fontId="10" fillId="0" borderId="20" xfId="0" applyNumberFormat="1" applyFont="1" applyBorder="1" applyAlignment="1" applyProtection="1">
      <alignment horizontal="left" vertical="center" wrapText="1"/>
      <protection locked="0"/>
    </xf>
    <xf numFmtId="4" fontId="8" fillId="0" borderId="0" xfId="0" applyNumberFormat="1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left" wrapText="1"/>
    </xf>
    <xf numFmtId="4" fontId="10" fillId="4" borderId="21" xfId="0" applyNumberFormat="1" applyFont="1" applyFill="1" applyBorder="1" applyAlignment="1" applyProtection="1">
      <alignment horizontal="left" vertical="center"/>
      <protection locked="0"/>
    </xf>
    <xf numFmtId="4" fontId="10" fillId="4" borderId="40" xfId="0" applyNumberFormat="1" applyFont="1" applyFill="1" applyBorder="1" applyAlignment="1" applyProtection="1">
      <alignment horizontal="left" vertical="center"/>
      <protection locked="0"/>
    </xf>
    <xf numFmtId="4" fontId="10" fillId="4" borderId="20" xfId="0" applyNumberFormat="1" applyFont="1" applyFill="1" applyBorder="1" applyAlignment="1" applyProtection="1">
      <alignment horizontal="left" vertical="center"/>
      <protection locked="0"/>
    </xf>
    <xf numFmtId="4" fontId="11" fillId="0" borderId="46" xfId="0" applyNumberFormat="1" applyFont="1" applyFill="1" applyBorder="1" applyAlignment="1" applyProtection="1">
      <alignment vertical="center"/>
    </xf>
    <xf numFmtId="4" fontId="9" fillId="0" borderId="32" xfId="0" applyNumberFormat="1" applyFont="1" applyFill="1" applyBorder="1" applyAlignment="1" applyProtection="1">
      <alignment vertical="center" wrapText="1"/>
      <protection locked="0"/>
    </xf>
    <xf numFmtId="4" fontId="9" fillId="0" borderId="44" xfId="0" applyNumberFormat="1" applyFont="1" applyFill="1" applyBorder="1" applyAlignment="1" applyProtection="1">
      <alignment vertical="center" wrapText="1"/>
      <protection locked="0"/>
    </xf>
    <xf numFmtId="4" fontId="9" fillId="0" borderId="33" xfId="0" applyNumberFormat="1" applyFont="1" applyFill="1" applyBorder="1" applyAlignment="1" applyProtection="1">
      <alignment vertical="center" wrapText="1"/>
      <protection locked="0"/>
    </xf>
    <xf numFmtId="4" fontId="11" fillId="0" borderId="36" xfId="0" applyNumberFormat="1" applyFont="1" applyFill="1" applyBorder="1" applyAlignment="1" applyProtection="1">
      <alignment vertical="center"/>
    </xf>
    <xf numFmtId="4" fontId="11" fillId="0" borderId="47" xfId="0" applyNumberFormat="1" applyFont="1" applyFill="1" applyBorder="1" applyAlignment="1" applyProtection="1">
      <alignment vertical="center"/>
    </xf>
    <xf numFmtId="4" fontId="10" fillId="0" borderId="11" xfId="0" applyNumberFormat="1" applyFont="1" applyFill="1" applyBorder="1" applyAlignment="1" applyProtection="1">
      <alignment vertical="center"/>
      <protection locked="0"/>
    </xf>
    <xf numFmtId="4" fontId="10" fillId="0" borderId="10" xfId="0" applyNumberFormat="1" applyFont="1" applyFill="1" applyBorder="1" applyAlignment="1" applyProtection="1">
      <alignment vertical="center"/>
      <protection locked="0"/>
    </xf>
    <xf numFmtId="4" fontId="10" fillId="0" borderId="9" xfId="0" applyNumberFormat="1" applyFont="1" applyFill="1" applyBorder="1" applyAlignment="1" applyProtection="1">
      <alignment vertical="center"/>
      <protection locked="0"/>
    </xf>
    <xf numFmtId="4" fontId="11" fillId="0" borderId="46" xfId="0" applyNumberFormat="1" applyFont="1" applyBorder="1" applyAlignment="1" applyProtection="1">
      <alignment vertical="center"/>
      <protection locked="0"/>
    </xf>
    <xf numFmtId="4" fontId="11" fillId="0" borderId="36" xfId="0" applyNumberFormat="1" applyFont="1" applyBorder="1" applyAlignment="1" applyProtection="1">
      <alignment vertical="center"/>
      <protection locked="0"/>
    </xf>
    <xf numFmtId="4" fontId="11" fillId="0" borderId="47" xfId="0" applyNumberFormat="1" applyFont="1" applyBorder="1" applyAlignment="1" applyProtection="1">
      <alignment vertical="center"/>
      <protection locked="0"/>
    </xf>
    <xf numFmtId="0" fontId="10" fillId="4" borderId="21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4" fontId="6" fillId="0" borderId="32" xfId="0" applyNumberFormat="1" applyFont="1" applyFill="1" applyBorder="1" applyAlignment="1" applyProtection="1">
      <alignment horizontal="left" vertical="center"/>
      <protection locked="0"/>
    </xf>
    <xf numFmtId="4" fontId="6" fillId="0" borderId="33" xfId="0" applyNumberFormat="1" applyFont="1" applyFill="1" applyBorder="1" applyAlignment="1" applyProtection="1">
      <alignment horizontal="left" vertical="center"/>
      <protection locked="0"/>
    </xf>
    <xf numFmtId="4" fontId="6" fillId="0" borderId="34" xfId="0" applyNumberFormat="1" applyFont="1" applyBorder="1" applyAlignment="1" applyProtection="1">
      <alignment horizontal="left" vertical="center" wrapText="1"/>
      <protection locked="0"/>
    </xf>
    <xf numFmtId="4" fontId="6" fillId="0" borderId="35" xfId="0" applyNumberFormat="1" applyFont="1" applyBorder="1" applyAlignment="1" applyProtection="1">
      <alignment horizontal="left" vertical="center" wrapText="1"/>
      <protection locked="0"/>
    </xf>
    <xf numFmtId="4" fontId="6" fillId="0" borderId="34" xfId="0" applyNumberFormat="1" applyFont="1" applyFill="1" applyBorder="1" applyAlignment="1" applyProtection="1">
      <alignment horizontal="left" vertical="center" wrapText="1"/>
      <protection locked="0"/>
    </xf>
    <xf numFmtId="4" fontId="6" fillId="0" borderId="35" xfId="0" applyNumberFormat="1" applyFont="1" applyFill="1" applyBorder="1" applyAlignment="1" applyProtection="1">
      <alignment horizontal="left" vertical="center" wrapText="1"/>
      <protection locked="0"/>
    </xf>
    <xf numFmtId="4" fontId="6" fillId="0" borderId="34" xfId="0" applyNumberFormat="1" applyFont="1" applyFill="1" applyBorder="1" applyAlignment="1" applyProtection="1">
      <alignment horizontal="left" vertical="center"/>
      <protection locked="0"/>
    </xf>
    <xf numFmtId="4" fontId="6" fillId="0" borderId="35" xfId="0" applyNumberFormat="1" applyFont="1" applyFill="1" applyBorder="1" applyAlignment="1" applyProtection="1">
      <alignment horizontal="left" vertical="center"/>
      <protection locked="0"/>
    </xf>
    <xf numFmtId="4" fontId="6" fillId="0" borderId="34" xfId="0" applyNumberFormat="1" applyFont="1" applyBorder="1" applyAlignment="1" applyProtection="1">
      <alignment horizontal="left" vertical="center"/>
      <protection locked="0"/>
    </xf>
    <xf numFmtId="4" fontId="6" fillId="0" borderId="35" xfId="0" applyNumberFormat="1" applyFont="1" applyBorder="1" applyAlignment="1" applyProtection="1">
      <alignment horizontal="left" vertical="center"/>
      <protection locked="0"/>
    </xf>
    <xf numFmtId="4" fontId="6" fillId="0" borderId="39" xfId="0" applyNumberFormat="1" applyFont="1" applyBorder="1" applyAlignment="1" applyProtection="1">
      <alignment horizontal="left" vertical="center"/>
      <protection locked="0"/>
    </xf>
    <xf numFmtId="4" fontId="6" fillId="0" borderId="38" xfId="0" applyNumberFormat="1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>
      <alignment horizontal="center" vertical="center" wrapText="1"/>
    </xf>
    <xf numFmtId="4" fontId="10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4" xfId="0" applyNumberFormat="1" applyFont="1" applyFill="1" applyBorder="1" applyAlignment="1" applyProtection="1">
      <alignment horizontal="center" vertical="center"/>
      <protection locked="0"/>
    </xf>
    <xf numFmtId="4" fontId="8" fillId="4" borderId="2" xfId="0" applyNumberFormat="1" applyFont="1" applyFill="1" applyBorder="1" applyAlignment="1" applyProtection="1">
      <alignment horizontal="center" vertical="center"/>
      <protection locked="0"/>
    </xf>
    <xf numFmtId="4" fontId="6" fillId="0" borderId="0" xfId="0" applyNumberFormat="1" applyFont="1" applyAlignment="1">
      <alignment horizontal="left" vertical="center" wrapText="1"/>
    </xf>
    <xf numFmtId="4" fontId="8" fillId="0" borderId="0" xfId="0" applyNumberFormat="1" applyFont="1" applyFill="1" applyBorder="1" applyAlignment="1" applyProtection="1">
      <alignment vertical="center"/>
    </xf>
    <xf numFmtId="4" fontId="8" fillId="4" borderId="21" xfId="0" applyNumberFormat="1" applyFont="1" applyFill="1" applyBorder="1" applyAlignment="1" applyProtection="1">
      <alignment vertical="center"/>
      <protection locked="0"/>
    </xf>
    <xf numFmtId="4" fontId="8" fillId="4" borderId="40" xfId="0" applyNumberFormat="1" applyFont="1" applyFill="1" applyBorder="1" applyAlignment="1" applyProtection="1">
      <alignment vertical="center"/>
      <protection locked="0"/>
    </xf>
    <xf numFmtId="4" fontId="8" fillId="4" borderId="2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Fill="1" applyBorder="1" applyAlignment="1" applyProtection="1">
      <alignment vertical="center"/>
      <protection locked="0"/>
    </xf>
    <xf numFmtId="4" fontId="11" fillId="0" borderId="32" xfId="0" applyNumberFormat="1" applyFont="1" applyFill="1" applyBorder="1" applyAlignment="1" applyProtection="1">
      <alignment horizontal="left" vertical="center" wrapText="1" indent="1"/>
      <protection locked="0"/>
    </xf>
    <xf numFmtId="4" fontId="11" fillId="0" borderId="44" xfId="0" applyNumberFormat="1" applyFont="1" applyFill="1" applyBorder="1" applyAlignment="1" applyProtection="1">
      <alignment horizontal="left" vertical="center" wrapText="1" indent="1"/>
      <protection locked="0"/>
    </xf>
    <xf numFmtId="4" fontId="11" fillId="0" borderId="33" xfId="0" applyNumberFormat="1" applyFont="1" applyFill="1" applyBorder="1" applyAlignment="1" applyProtection="1">
      <alignment horizontal="left" vertical="center" wrapText="1" indent="1"/>
      <protection locked="0"/>
    </xf>
    <xf numFmtId="4" fontId="11" fillId="0" borderId="37" xfId="0" applyNumberFormat="1" applyFont="1" applyFill="1" applyBorder="1" applyAlignment="1" applyProtection="1">
      <alignment horizontal="left" vertical="center" wrapText="1" indent="1"/>
      <protection locked="0"/>
    </xf>
    <xf numFmtId="4" fontId="11" fillId="0" borderId="49" xfId="0" applyNumberFormat="1" applyFont="1" applyFill="1" applyBorder="1" applyAlignment="1" applyProtection="1">
      <alignment horizontal="left" vertical="center" wrapText="1" indent="1"/>
      <protection locked="0"/>
    </xf>
    <xf numFmtId="4" fontId="11" fillId="0" borderId="31" xfId="0" applyNumberFormat="1" applyFont="1" applyFill="1" applyBorder="1" applyAlignment="1" applyProtection="1">
      <alignment horizontal="left" vertical="center" wrapText="1" indent="1"/>
      <protection locked="0"/>
    </xf>
    <xf numFmtId="4" fontId="11" fillId="0" borderId="34" xfId="0" applyNumberFormat="1" applyFont="1" applyFill="1" applyBorder="1" applyAlignment="1" applyProtection="1">
      <alignment horizontal="left" vertical="center" wrapText="1" indent="1"/>
      <protection locked="0"/>
    </xf>
    <xf numFmtId="4" fontId="11" fillId="0" borderId="45" xfId="0" applyNumberFormat="1" applyFont="1" applyFill="1" applyBorder="1" applyAlignment="1" applyProtection="1">
      <alignment horizontal="left" vertical="center" wrapText="1" indent="1"/>
      <protection locked="0"/>
    </xf>
    <xf numFmtId="4" fontId="11" fillId="0" borderId="35" xfId="0" applyNumberFormat="1" applyFont="1" applyFill="1" applyBorder="1" applyAlignment="1" applyProtection="1">
      <alignment horizontal="left" vertical="center" wrapText="1" indent="1"/>
      <protection locked="0"/>
    </xf>
    <xf numFmtId="4" fontId="11" fillId="0" borderId="34" xfId="0" applyNumberFormat="1" applyFont="1" applyFill="1" applyBorder="1" applyAlignment="1" applyProtection="1">
      <alignment horizontal="left" vertical="center" indent="1"/>
      <protection locked="0"/>
    </xf>
    <xf numFmtId="4" fontId="11" fillId="0" borderId="45" xfId="0" applyNumberFormat="1" applyFont="1" applyFill="1" applyBorder="1" applyAlignment="1" applyProtection="1">
      <alignment horizontal="left" vertical="center" indent="1"/>
      <protection locked="0"/>
    </xf>
    <xf numFmtId="4" fontId="11" fillId="0" borderId="35" xfId="0" applyNumberFormat="1" applyFont="1" applyFill="1" applyBorder="1" applyAlignment="1" applyProtection="1">
      <alignment horizontal="left" vertical="center" indent="1"/>
      <protection locked="0"/>
    </xf>
    <xf numFmtId="4" fontId="6" fillId="0" borderId="0" xfId="0" applyNumberFormat="1" applyFont="1" applyBorder="1" applyAlignment="1">
      <alignment vertical="center"/>
    </xf>
    <xf numFmtId="4" fontId="11" fillId="0" borderId="0" xfId="0" applyNumberFormat="1" applyFont="1" applyBorder="1" applyAlignment="1" applyProtection="1">
      <alignment vertical="center"/>
      <protection locked="0"/>
    </xf>
    <xf numFmtId="4" fontId="11" fillId="0" borderId="0" xfId="0" applyNumberFormat="1" applyFont="1" applyFill="1" applyBorder="1" applyAlignment="1" applyProtection="1">
      <alignment horizontal="left" vertical="center" indent="1"/>
      <protection locked="0"/>
    </xf>
    <xf numFmtId="4" fontId="6" fillId="0" borderId="0" xfId="0" applyNumberFormat="1" applyFont="1" applyFill="1" applyBorder="1" applyAlignment="1" applyProtection="1">
      <alignment vertical="center"/>
    </xf>
    <xf numFmtId="4" fontId="6" fillId="0" borderId="34" xfId="0" applyNumberFormat="1" applyFont="1" applyFill="1" applyBorder="1" applyAlignment="1" applyProtection="1">
      <alignment vertical="center"/>
      <protection locked="0"/>
    </xf>
    <xf numFmtId="4" fontId="6" fillId="0" borderId="45" xfId="0" applyNumberFormat="1" applyFont="1" applyFill="1" applyBorder="1" applyAlignment="1" applyProtection="1">
      <alignment vertical="center"/>
      <protection locked="0"/>
    </xf>
    <xf numFmtId="4" fontId="6" fillId="0" borderId="35" xfId="0" applyNumberFormat="1" applyFont="1" applyFill="1" applyBorder="1" applyAlignment="1" applyProtection="1">
      <alignment vertical="center"/>
      <protection locked="0"/>
    </xf>
    <xf numFmtId="4" fontId="11" fillId="0" borderId="0" xfId="0" applyNumberFormat="1" applyFont="1" applyFill="1" applyBorder="1" applyAlignment="1" applyProtection="1">
      <alignment vertical="center"/>
      <protection locked="0"/>
    </xf>
    <xf numFmtId="4" fontId="6" fillId="0" borderId="34" xfId="0" applyNumberFormat="1" applyFont="1" applyFill="1" applyBorder="1" applyAlignment="1" applyProtection="1">
      <alignment vertical="center" wrapText="1"/>
      <protection locked="0"/>
    </xf>
    <xf numFmtId="4" fontId="6" fillId="0" borderId="45" xfId="0" applyNumberFormat="1" applyFont="1" applyFill="1" applyBorder="1" applyAlignment="1" applyProtection="1">
      <alignment vertical="center" wrapText="1"/>
      <protection locked="0"/>
    </xf>
    <xf numFmtId="4" fontId="6" fillId="0" borderId="35" xfId="0" applyNumberFormat="1" applyFont="1" applyFill="1" applyBorder="1" applyAlignment="1" applyProtection="1">
      <alignment vertical="center" wrapText="1"/>
      <protection locked="0"/>
    </xf>
    <xf numFmtId="4" fontId="6" fillId="0" borderId="30" xfId="0" applyNumberFormat="1" applyFont="1" applyFill="1" applyBorder="1" applyAlignment="1" applyProtection="1">
      <alignment vertical="center"/>
    </xf>
    <xf numFmtId="4" fontId="6" fillId="0" borderId="39" xfId="0" applyNumberFormat="1" applyFont="1" applyFill="1" applyBorder="1" applyAlignment="1" applyProtection="1">
      <alignment vertical="center"/>
      <protection locked="0"/>
    </xf>
    <xf numFmtId="4" fontId="6" fillId="0" borderId="48" xfId="0" applyNumberFormat="1" applyFont="1" applyFill="1" applyBorder="1" applyAlignment="1" applyProtection="1">
      <alignment vertical="center"/>
      <protection locked="0"/>
    </xf>
    <xf numFmtId="4" fontId="6" fillId="0" borderId="38" xfId="0" applyNumberFormat="1" applyFont="1" applyFill="1" applyBorder="1" applyAlignment="1" applyProtection="1">
      <alignment vertical="center"/>
      <protection locked="0"/>
    </xf>
    <xf numFmtId="4" fontId="10" fillId="0" borderId="21" xfId="0" applyNumberFormat="1" applyFont="1" applyFill="1" applyBorder="1" applyAlignment="1" applyProtection="1">
      <alignment horizontal="left" vertical="center" wrapText="1"/>
      <protection locked="0"/>
    </xf>
    <xf numFmtId="4" fontId="10" fillId="0" borderId="40" xfId="0" applyNumberFormat="1" applyFont="1" applyFill="1" applyBorder="1" applyAlignment="1" applyProtection="1">
      <alignment horizontal="left" vertical="center" wrapText="1"/>
      <protection locked="0"/>
    </xf>
    <xf numFmtId="4" fontId="10" fillId="0" borderId="20" xfId="0" applyNumberFormat="1" applyFont="1" applyFill="1" applyBorder="1" applyAlignment="1" applyProtection="1">
      <alignment horizontal="left" vertical="center" wrapText="1"/>
      <protection locked="0"/>
    </xf>
    <xf numFmtId="4" fontId="8" fillId="0" borderId="0" xfId="0" applyNumberFormat="1" applyFont="1" applyFill="1" applyBorder="1" applyAlignment="1" applyProtection="1">
      <alignment vertical="center"/>
      <protection locked="0"/>
    </xf>
    <xf numFmtId="4" fontId="6" fillId="0" borderId="32" xfId="0" applyNumberFormat="1" applyFont="1" applyFill="1" applyBorder="1" applyAlignment="1" applyProtection="1">
      <alignment vertical="center" wrapText="1"/>
      <protection locked="0"/>
    </xf>
    <xf numFmtId="4" fontId="6" fillId="0" borderId="44" xfId="0" applyNumberFormat="1" applyFont="1" applyFill="1" applyBorder="1" applyAlignment="1" applyProtection="1">
      <alignment vertical="center" wrapText="1"/>
      <protection locked="0"/>
    </xf>
    <xf numFmtId="4" fontId="6" fillId="0" borderId="33" xfId="0" applyNumberFormat="1" applyFont="1" applyFill="1" applyBorder="1" applyAlignment="1" applyProtection="1">
      <alignment vertical="center" wrapText="1"/>
      <protection locked="0"/>
    </xf>
    <xf numFmtId="4" fontId="16" fillId="0" borderId="34" xfId="0" applyNumberFormat="1" applyFont="1" applyFill="1" applyBorder="1" applyAlignment="1" applyProtection="1">
      <alignment vertical="center"/>
      <protection locked="0"/>
    </xf>
    <xf numFmtId="4" fontId="16" fillId="0" borderId="45" xfId="0" applyNumberFormat="1" applyFont="1" applyFill="1" applyBorder="1" applyAlignment="1" applyProtection="1">
      <alignment vertical="center"/>
      <protection locked="0"/>
    </xf>
    <xf numFmtId="4" fontId="16" fillId="0" borderId="35" xfId="0" applyNumberFormat="1" applyFont="1" applyFill="1" applyBorder="1" applyAlignment="1" applyProtection="1">
      <alignment vertical="center"/>
      <protection locked="0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Alignment="1" applyProtection="1">
      <alignment horizontal="left" vertical="center"/>
      <protection locked="0"/>
    </xf>
    <xf numFmtId="4" fontId="8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vertical="center"/>
    </xf>
    <xf numFmtId="4" fontId="11" fillId="0" borderId="50" xfId="0" applyNumberFormat="1" applyFont="1" applyBorder="1" applyAlignment="1" applyProtection="1">
      <alignment vertical="center"/>
      <protection locked="0"/>
    </xf>
    <xf numFmtId="4" fontId="11" fillId="0" borderId="51" xfId="0" applyNumberFormat="1" applyFont="1" applyBorder="1" applyAlignment="1" applyProtection="1">
      <alignment vertical="center"/>
      <protection locked="0"/>
    </xf>
    <xf numFmtId="4" fontId="11" fillId="0" borderId="52" xfId="0" applyNumberFormat="1" applyFont="1" applyBorder="1" applyAlignment="1" applyProtection="1">
      <alignment vertical="center"/>
      <protection locked="0"/>
    </xf>
    <xf numFmtId="4" fontId="11" fillId="0" borderId="53" xfId="0" applyNumberFormat="1" applyFont="1" applyBorder="1" applyAlignment="1" applyProtection="1">
      <alignment vertical="center"/>
      <protection locked="0"/>
    </xf>
    <xf numFmtId="49" fontId="9" fillId="0" borderId="34" xfId="0" applyNumberFormat="1" applyFont="1" applyFill="1" applyBorder="1" applyAlignment="1" applyProtection="1">
      <alignment vertical="center" wrapText="1"/>
      <protection locked="0"/>
    </xf>
    <xf numFmtId="49" fontId="9" fillId="0" borderId="45" xfId="0" applyNumberFormat="1" applyFont="1" applyFill="1" applyBorder="1" applyAlignment="1" applyProtection="1">
      <alignment vertical="center" wrapText="1"/>
      <protection locked="0"/>
    </xf>
    <xf numFmtId="49" fontId="9" fillId="0" borderId="35" xfId="0" applyNumberFormat="1" applyFont="1" applyFill="1" applyBorder="1" applyAlignment="1" applyProtection="1">
      <alignment vertical="center" wrapText="1"/>
      <protection locked="0"/>
    </xf>
    <xf numFmtId="4" fontId="6" fillId="0" borderId="54" xfId="0" applyNumberFormat="1" applyFont="1" applyBorder="1" applyAlignment="1" applyProtection="1">
      <alignment vertical="center"/>
      <protection locked="0"/>
    </xf>
    <xf numFmtId="49" fontId="16" fillId="0" borderId="34" xfId="0" applyNumberFormat="1" applyFont="1" applyFill="1" applyBorder="1" applyAlignment="1" applyProtection="1">
      <alignment vertical="center" wrapText="1"/>
      <protection locked="0"/>
    </xf>
    <xf numFmtId="49" fontId="16" fillId="0" borderId="45" xfId="0" applyNumberFormat="1" applyFont="1" applyFill="1" applyBorder="1" applyAlignment="1" applyProtection="1">
      <alignment vertical="center" wrapText="1"/>
      <protection locked="0"/>
    </xf>
    <xf numFmtId="49" fontId="16" fillId="0" borderId="35" xfId="0" applyNumberFormat="1" applyFont="1" applyFill="1" applyBorder="1" applyAlignment="1" applyProtection="1">
      <alignment vertical="center" wrapText="1"/>
      <protection locked="0"/>
    </xf>
    <xf numFmtId="4" fontId="6" fillId="0" borderId="37" xfId="0" applyNumberFormat="1" applyFont="1" applyBorder="1" applyAlignment="1" applyProtection="1">
      <alignment vertical="center"/>
      <protection locked="0"/>
    </xf>
    <xf numFmtId="4" fontId="16" fillId="0" borderId="39" xfId="0" applyNumberFormat="1" applyFont="1" applyFill="1" applyBorder="1" applyAlignment="1" applyProtection="1">
      <alignment vertical="center"/>
      <protection locked="0"/>
    </xf>
    <xf numFmtId="4" fontId="16" fillId="0" borderId="48" xfId="0" applyNumberFormat="1" applyFont="1" applyFill="1" applyBorder="1" applyAlignment="1" applyProtection="1">
      <alignment vertical="center"/>
      <protection locked="0"/>
    </xf>
    <xf numFmtId="4" fontId="16" fillId="0" borderId="38" xfId="0" applyNumberFormat="1" applyFont="1" applyFill="1" applyBorder="1" applyAlignment="1" applyProtection="1">
      <alignment vertical="center"/>
      <protection locked="0"/>
    </xf>
    <xf numFmtId="4" fontId="8" fillId="0" borderId="21" xfId="0" applyNumberFormat="1" applyFont="1" applyFill="1" applyBorder="1" applyAlignment="1" applyProtection="1">
      <alignment vertical="center"/>
    </xf>
    <xf numFmtId="4" fontId="11" fillId="0" borderId="8" xfId="0" applyNumberFormat="1" applyFont="1" applyBorder="1" applyAlignment="1" applyProtection="1">
      <alignment vertical="center"/>
      <protection locked="0"/>
    </xf>
    <xf numFmtId="4" fontId="11" fillId="0" borderId="11" xfId="0" applyNumberFormat="1" applyFont="1" applyBorder="1" applyAlignment="1" applyProtection="1">
      <alignment vertical="center"/>
      <protection locked="0"/>
    </xf>
    <xf numFmtId="49" fontId="9" fillId="0" borderId="11" xfId="0" applyNumberFormat="1" applyFont="1" applyFill="1" applyBorder="1" applyAlignment="1" applyProtection="1">
      <alignment vertical="center" wrapText="1"/>
      <protection locked="0"/>
    </xf>
    <xf numFmtId="49" fontId="9" fillId="0" borderId="10" xfId="0" applyNumberFormat="1" applyFont="1" applyFill="1" applyBorder="1" applyAlignment="1" applyProtection="1">
      <alignment vertical="center" wrapText="1"/>
      <protection locked="0"/>
    </xf>
    <xf numFmtId="49" fontId="9" fillId="0" borderId="9" xfId="0" applyNumberFormat="1" applyFont="1" applyFill="1" applyBorder="1" applyAlignment="1" applyProtection="1">
      <alignment vertical="center" wrapText="1"/>
      <protection locked="0"/>
    </xf>
    <xf numFmtId="49" fontId="9" fillId="0" borderId="55" xfId="0" applyNumberFormat="1" applyFont="1" applyFill="1" applyBorder="1" applyAlignment="1" applyProtection="1">
      <alignment vertical="center" wrapText="1"/>
      <protection locked="0"/>
    </xf>
    <xf numFmtId="49" fontId="9" fillId="0" borderId="53" xfId="0" applyNumberFormat="1" applyFont="1" applyFill="1" applyBorder="1" applyAlignment="1" applyProtection="1">
      <alignment vertical="center" wrapText="1"/>
      <protection locked="0"/>
    </xf>
    <xf numFmtId="49" fontId="9" fillId="0" borderId="56" xfId="0" applyNumberFormat="1" applyFont="1" applyFill="1" applyBorder="1" applyAlignment="1" applyProtection="1">
      <alignment vertical="center" wrapText="1"/>
      <protection locked="0"/>
    </xf>
    <xf numFmtId="4" fontId="6" fillId="0" borderId="39" xfId="0" applyNumberFormat="1" applyFont="1" applyBorder="1" applyAlignment="1" applyProtection="1">
      <alignment vertical="center"/>
      <protection locked="0"/>
    </xf>
    <xf numFmtId="49" fontId="16" fillId="0" borderId="39" xfId="0" applyNumberFormat="1" applyFont="1" applyFill="1" applyBorder="1" applyAlignment="1" applyProtection="1">
      <alignment vertical="center" wrapText="1"/>
      <protection locked="0"/>
    </xf>
    <xf numFmtId="49" fontId="16" fillId="0" borderId="48" xfId="0" applyNumberFormat="1" applyFont="1" applyFill="1" applyBorder="1" applyAlignment="1" applyProtection="1">
      <alignment vertical="center" wrapText="1"/>
      <protection locked="0"/>
    </xf>
    <xf numFmtId="49" fontId="16" fillId="0" borderId="38" xfId="0" applyNumberFormat="1" applyFont="1" applyFill="1" applyBorder="1" applyAlignment="1" applyProtection="1">
      <alignment vertical="center" wrapText="1"/>
      <protection locked="0"/>
    </xf>
    <xf numFmtId="4" fontId="10" fillId="5" borderId="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0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horizontal="left" vertical="center"/>
    </xf>
    <xf numFmtId="4" fontId="16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vertical="center"/>
    </xf>
    <xf numFmtId="4" fontId="16" fillId="0" borderId="0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left" vertical="center" wrapText="1"/>
    </xf>
    <xf numFmtId="4" fontId="16" fillId="0" borderId="0" xfId="0" applyNumberFormat="1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10" fillId="0" borderId="0" xfId="0" applyNumberFormat="1" applyFont="1" applyFill="1" applyBorder="1" applyAlignment="1">
      <alignment horizontal="right" vertical="center" wrapText="1"/>
    </xf>
    <xf numFmtId="4" fontId="10" fillId="0" borderId="0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/>
    <xf numFmtId="4" fontId="8" fillId="4" borderId="12" xfId="0" applyNumberFormat="1" applyFont="1" applyFill="1" applyBorder="1" applyAlignment="1" applyProtection="1">
      <alignment horizontal="right" vertical="center" wrapText="1"/>
    </xf>
    <xf numFmtId="4" fontId="8" fillId="5" borderId="21" xfId="0" applyNumberFormat="1" applyFont="1" applyFill="1" applyBorder="1" applyAlignment="1" applyProtection="1">
      <alignment horizontal="justify" vertical="center" wrapText="1"/>
      <protection locked="0"/>
    </xf>
    <xf numFmtId="4" fontId="8" fillId="5" borderId="20" xfId="0" applyNumberFormat="1" applyFont="1" applyFill="1" applyBorder="1" applyAlignment="1" applyProtection="1">
      <alignment horizontal="justify" vertical="center" wrapText="1"/>
      <protection locked="0"/>
    </xf>
    <xf numFmtId="4" fontId="8" fillId="0" borderId="3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32" xfId="0" applyNumberFormat="1" applyFont="1" applyBorder="1" applyAlignment="1" applyProtection="1">
      <alignment horizontal="left" vertical="center" wrapText="1"/>
      <protection locked="0"/>
    </xf>
    <xf numFmtId="4" fontId="8" fillId="0" borderId="33" xfId="0" applyNumberFormat="1" applyFont="1" applyBorder="1" applyAlignment="1" applyProtection="1">
      <alignment horizontal="left" vertical="center" wrapText="1"/>
      <protection locked="0"/>
    </xf>
    <xf numFmtId="4" fontId="6" fillId="0" borderId="36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36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34" xfId="0" applyNumberFormat="1" applyFont="1" applyFill="1" applyBorder="1" applyAlignment="1" applyProtection="1">
      <alignment horizontal="left" vertical="center" wrapText="1"/>
      <protection locked="0"/>
    </xf>
    <xf numFmtId="4" fontId="11" fillId="0" borderId="35" xfId="0" applyNumberFormat="1" applyFont="1" applyFill="1" applyBorder="1" applyAlignment="1" applyProtection="1">
      <alignment horizontal="left" vertical="center" wrapText="1"/>
      <protection locked="0"/>
    </xf>
    <xf numFmtId="4" fontId="8" fillId="0" borderId="36" xfId="0" applyNumberFormat="1" applyFont="1" applyFill="1" applyBorder="1" applyAlignment="1" applyProtection="1">
      <alignment horizontal="right" vertical="center" wrapText="1"/>
    </xf>
    <xf numFmtId="4" fontId="8" fillId="0" borderId="34" xfId="0" applyNumberFormat="1" applyFont="1" applyFill="1" applyBorder="1" applyAlignment="1" applyProtection="1">
      <alignment horizontal="left" vertical="center" wrapText="1"/>
      <protection locked="0"/>
    </xf>
    <xf numFmtId="4" fontId="8" fillId="0" borderId="35" xfId="0" applyNumberFormat="1" applyFont="1" applyFill="1" applyBorder="1" applyAlignment="1" applyProtection="1">
      <alignment horizontal="left" vertical="center" wrapText="1"/>
      <protection locked="0"/>
    </xf>
    <xf numFmtId="4" fontId="6" fillId="0" borderId="0" xfId="0" applyNumberFormat="1" applyFont="1" applyFill="1" applyBorder="1" applyAlignment="1">
      <alignment horizontal="right" vertical="center"/>
    </xf>
    <xf numFmtId="4" fontId="8" fillId="0" borderId="47" xfId="0" applyNumberFormat="1" applyFont="1" applyBorder="1" applyAlignment="1" applyProtection="1">
      <alignment horizontal="right" vertical="center" wrapText="1"/>
      <protection locked="0"/>
    </xf>
    <xf numFmtId="4" fontId="8" fillId="0" borderId="34" xfId="0" applyNumberFormat="1" applyFont="1" applyBorder="1" applyAlignment="1" applyProtection="1">
      <alignment horizontal="left" vertical="center" wrapText="1"/>
      <protection locked="0"/>
    </xf>
    <xf numFmtId="4" fontId="8" fillId="0" borderId="35" xfId="0" applyNumberFormat="1" applyFont="1" applyBorder="1" applyAlignment="1" applyProtection="1">
      <alignment horizontal="left" vertical="center" wrapText="1"/>
      <protection locked="0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39" xfId="0" applyNumberFormat="1" applyFont="1" applyBorder="1" applyAlignment="1" applyProtection="1">
      <alignment horizontal="left" vertical="center" wrapText="1"/>
      <protection locked="0"/>
    </xf>
    <xf numFmtId="4" fontId="8" fillId="0" borderId="38" xfId="0" applyNumberFormat="1" applyFont="1" applyBorder="1" applyAlignment="1" applyProtection="1">
      <alignment horizontal="left" vertical="center" wrapText="1"/>
      <protection locked="0"/>
    </xf>
    <xf numFmtId="4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5" borderId="21" xfId="0" applyNumberFormat="1" applyFont="1" applyFill="1" applyBorder="1" applyAlignment="1" applyProtection="1">
      <alignment horizontal="center" vertical="center" wrapText="1"/>
      <protection locked="0"/>
    </xf>
    <xf numFmtId="4" fontId="10" fillId="5" borderId="20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0" xfId="0" applyNumberFormat="1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 vertical="center" wrapText="1"/>
    </xf>
    <xf numFmtId="4" fontId="8" fillId="4" borderId="21" xfId="0" applyNumberFormat="1" applyFont="1" applyFill="1" applyBorder="1" applyAlignment="1" applyProtection="1">
      <alignment horizontal="right" vertical="center" wrapText="1"/>
    </xf>
    <xf numFmtId="4" fontId="8" fillId="4" borderId="57" xfId="0" applyNumberFormat="1" applyFont="1" applyFill="1" applyBorder="1" applyAlignment="1" applyProtection="1">
      <alignment horizontal="right" vertical="center" wrapText="1"/>
    </xf>
    <xf numFmtId="4" fontId="8" fillId="4" borderId="20" xfId="0" applyNumberFormat="1" applyFont="1" applyFill="1" applyBorder="1" applyAlignment="1" applyProtection="1">
      <alignment horizontal="right" vertical="center" wrapText="1"/>
    </xf>
    <xf numFmtId="0" fontId="10" fillId="4" borderId="12" xfId="2" applyFont="1" applyFill="1" applyBorder="1" applyAlignment="1" applyProtection="1">
      <alignment vertical="center" wrapText="1"/>
    </xf>
    <xf numFmtId="0" fontId="10" fillId="4" borderId="47" xfId="2" applyFont="1" applyFill="1" applyBorder="1" applyAlignment="1" applyProtection="1">
      <alignment vertical="center" wrapText="1"/>
    </xf>
    <xf numFmtId="4" fontId="10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2" xfId="0" applyNumberFormat="1" applyFont="1" applyFill="1" applyBorder="1" applyAlignment="1" applyProtection="1">
      <alignment vertical="center" wrapText="1"/>
      <protection locked="0"/>
    </xf>
    <xf numFmtId="4" fontId="10" fillId="0" borderId="8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33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8" xfId="0" applyNumberFormat="1" applyFont="1" applyFill="1" applyBorder="1" applyAlignment="1" applyProtection="1">
      <alignment vertical="center" wrapText="1"/>
      <protection locked="0"/>
    </xf>
    <xf numFmtId="4" fontId="10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38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47" xfId="0" applyNumberFormat="1" applyFont="1" applyFill="1" applyBorder="1" applyAlignment="1" applyProtection="1">
      <alignment vertical="center" wrapText="1"/>
      <protection locked="0"/>
    </xf>
    <xf numFmtId="4" fontId="8" fillId="0" borderId="0" xfId="0" applyNumberFormat="1" applyFont="1" applyFill="1" applyBorder="1" applyAlignment="1" applyProtection="1">
      <alignment horizontal="right" vertical="center" wrapText="1"/>
    </xf>
    <xf numFmtId="4" fontId="10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59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47" xfId="2" applyFont="1" applyFill="1" applyBorder="1" applyAlignment="1" applyProtection="1">
      <alignment vertical="center" wrapText="1"/>
    </xf>
    <xf numFmtId="4" fontId="13" fillId="0" borderId="0" xfId="0" applyNumberFormat="1" applyFont="1" applyFill="1" applyBorder="1" applyAlignment="1" applyProtection="1">
      <alignment horizontal="right" vertical="center" wrapText="1"/>
    </xf>
    <xf numFmtId="4" fontId="11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12" xfId="0" applyNumberFormat="1" applyFont="1" applyFill="1" applyBorder="1" applyAlignment="1" applyProtection="1">
      <alignment horizontal="right" vertical="center" wrapText="1"/>
    </xf>
    <xf numFmtId="4" fontId="10" fillId="0" borderId="21" xfId="0" applyNumberFormat="1" applyFont="1" applyFill="1" applyBorder="1" applyAlignment="1" applyProtection="1">
      <alignment horizontal="right" vertical="center" wrapText="1"/>
    </xf>
    <xf numFmtId="4" fontId="10" fillId="0" borderId="57" xfId="0" applyNumberFormat="1" applyFont="1" applyFill="1" applyBorder="1" applyAlignment="1" applyProtection="1">
      <alignment horizontal="right" vertical="center" wrapText="1"/>
    </xf>
    <xf numFmtId="4" fontId="10" fillId="0" borderId="20" xfId="0" applyNumberFormat="1" applyFont="1" applyFill="1" applyBorder="1" applyAlignment="1" applyProtection="1">
      <alignment horizontal="right" vertical="center" wrapText="1"/>
    </xf>
    <xf numFmtId="4" fontId="10" fillId="0" borderId="60" xfId="0" applyNumberFormat="1" applyFont="1" applyFill="1" applyBorder="1" applyAlignment="1" applyProtection="1">
      <alignment horizontal="right" vertical="center" wrapText="1"/>
    </xf>
    <xf numFmtId="4" fontId="10" fillId="0" borderId="12" xfId="0" applyNumberFormat="1" applyFont="1" applyFill="1" applyBorder="1" applyAlignment="1">
      <alignment horizontal="left" vertical="center" wrapText="1"/>
    </xf>
    <xf numFmtId="4" fontId="6" fillId="0" borderId="3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5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1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36" xfId="0" applyNumberFormat="1" applyFont="1" applyFill="1" applyBorder="1" applyAlignment="1" applyProtection="1">
      <alignment vertical="center" wrapText="1"/>
      <protection locked="0"/>
    </xf>
    <xf numFmtId="4" fontId="6" fillId="0" borderId="36" xfId="0" applyNumberFormat="1" applyFont="1" applyFill="1" applyBorder="1" applyAlignment="1" applyProtection="1">
      <alignment vertical="center" wrapText="1"/>
      <protection locked="0"/>
    </xf>
    <xf numFmtId="4" fontId="6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21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12" xfId="0" applyNumberFormat="1" applyFont="1" applyFill="1" applyBorder="1" applyAlignment="1" applyProtection="1">
      <alignment vertical="center" wrapText="1"/>
      <protection locked="0"/>
    </xf>
    <xf numFmtId="4" fontId="6" fillId="0" borderId="66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67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68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36" xfId="0" applyNumberFormat="1" applyFont="1" applyFill="1" applyBorder="1" applyAlignment="1" applyProtection="1">
      <alignment horizontal="left" vertical="center" wrapText="1"/>
      <protection locked="0"/>
    </xf>
    <xf numFmtId="4" fontId="6" fillId="0" borderId="36" xfId="0" applyNumberFormat="1" applyFont="1" applyFill="1" applyBorder="1" applyAlignment="1" applyProtection="1">
      <alignment horizontal="left" vertical="center" wrapText="1"/>
      <protection locked="0"/>
    </xf>
    <xf numFmtId="4" fontId="6" fillId="0" borderId="30" xfId="0" applyNumberFormat="1" applyFont="1" applyFill="1" applyBorder="1" applyAlignment="1" applyProtection="1">
      <alignment horizontal="left" vertical="center" wrapText="1"/>
      <protection locked="0"/>
    </xf>
    <xf numFmtId="4" fontId="8" fillId="0" borderId="0" xfId="0" applyNumberFormat="1" applyFont="1" applyFill="1" applyBorder="1" applyAlignment="1" applyProtection="1">
      <alignment vertical="center" wrapText="1"/>
      <protection locked="0"/>
    </xf>
    <xf numFmtId="4" fontId="8" fillId="0" borderId="21" xfId="0" applyNumberFormat="1" applyFont="1" applyFill="1" applyBorder="1" applyAlignment="1" applyProtection="1">
      <alignment vertical="center" wrapText="1"/>
      <protection locked="0"/>
    </xf>
    <xf numFmtId="4" fontId="8" fillId="0" borderId="57" xfId="0" applyNumberFormat="1" applyFont="1" applyFill="1" applyBorder="1" applyAlignment="1" applyProtection="1">
      <alignment vertical="center" wrapText="1"/>
      <protection locked="0"/>
    </xf>
    <xf numFmtId="4" fontId="8" fillId="0" borderId="20" xfId="0" applyNumberFormat="1" applyFont="1" applyFill="1" applyBorder="1" applyAlignment="1" applyProtection="1">
      <alignment vertical="center" wrapText="1"/>
      <protection locked="0"/>
    </xf>
    <xf numFmtId="4" fontId="8" fillId="0" borderId="60" xfId="0" applyNumberFormat="1" applyFont="1" applyFill="1" applyBorder="1" applyAlignment="1" applyProtection="1">
      <alignment vertical="center" wrapText="1"/>
      <protection locked="0"/>
    </xf>
    <xf numFmtId="4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4" fontId="6" fillId="4" borderId="69" xfId="0" applyNumberFormat="1" applyFont="1" applyFill="1" applyBorder="1" applyAlignment="1" applyProtection="1">
      <alignment horizontal="center" vertical="center" wrapText="1"/>
      <protection locked="0"/>
    </xf>
    <xf numFmtId="4" fontId="6" fillId="4" borderId="29" xfId="0" applyNumberFormat="1" applyFont="1" applyFill="1" applyBorder="1" applyAlignment="1" applyProtection="1">
      <alignment horizontal="center" vertical="center" wrapText="1"/>
      <protection locked="0"/>
    </xf>
    <xf numFmtId="4" fontId="6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21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40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20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12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0" xfId="0" applyNumberFormat="1" applyFont="1" applyFill="1" applyAlignment="1" applyProtection="1">
      <alignment vertical="center"/>
      <protection locked="0"/>
    </xf>
    <xf numFmtId="4" fontId="19" fillId="0" borderId="0" xfId="0" applyNumberFormat="1" applyFont="1" applyFill="1" applyAlignment="1" applyProtection="1">
      <alignment vertical="center"/>
      <protection locked="0"/>
    </xf>
    <xf numFmtId="4" fontId="10" fillId="0" borderId="0" xfId="0" applyNumberFormat="1" applyFont="1" applyFill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4" fontId="6" fillId="0" borderId="29" xfId="0" applyNumberFormat="1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4" fontId="8" fillId="5" borderId="12" xfId="0" applyNumberFormat="1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4" fontId="8" fillId="0" borderId="0" xfId="0" applyNumberFormat="1" applyFont="1" applyFill="1" applyAlignment="1">
      <alignment horizontal="left" vertical="center" wrapText="1"/>
    </xf>
    <xf numFmtId="4" fontId="6" fillId="0" borderId="12" xfId="0" applyNumberFormat="1" applyFont="1" applyBorder="1" applyAlignment="1" applyProtection="1">
      <alignment horizontal="right" vertical="center"/>
      <protection locked="0"/>
    </xf>
    <xf numFmtId="4" fontId="6" fillId="0" borderId="34" xfId="0" applyNumberFormat="1" applyFont="1" applyBorder="1" applyAlignment="1" applyProtection="1">
      <alignment horizontal="justify" vertical="center"/>
      <protection locked="0"/>
    </xf>
    <xf numFmtId="4" fontId="6" fillId="0" borderId="35" xfId="0" applyNumberFormat="1" applyFont="1" applyBorder="1" applyAlignment="1" applyProtection="1">
      <alignment horizontal="justify" vertical="center"/>
      <protection locked="0"/>
    </xf>
    <xf numFmtId="4" fontId="10" fillId="5" borderId="12" xfId="0" applyNumberFormat="1" applyFont="1" applyFill="1" applyBorder="1" applyAlignment="1">
      <alignment horizontal="center" vertical="center" wrapText="1"/>
    </xf>
    <xf numFmtId="4" fontId="10" fillId="4" borderId="20" xfId="0" applyNumberFormat="1" applyFont="1" applyFill="1" applyBorder="1" applyAlignment="1">
      <alignment horizontal="center" vertical="center" wrapText="1"/>
    </xf>
    <xf numFmtId="4" fontId="10" fillId="5" borderId="21" xfId="0" applyNumberFormat="1" applyFont="1" applyFill="1" applyBorder="1" applyAlignment="1">
      <alignment horizontal="left" vertical="center"/>
    </xf>
    <xf numFmtId="4" fontId="10" fillId="5" borderId="20" xfId="0" applyNumberFormat="1" applyFont="1" applyFill="1" applyBorder="1" applyAlignment="1">
      <alignment horizontal="left" vertical="center"/>
    </xf>
    <xf numFmtId="4" fontId="6" fillId="0" borderId="0" xfId="0" applyNumberFormat="1" applyFont="1" applyAlignment="1">
      <alignment horizontal="justify" vertical="center"/>
    </xf>
    <xf numFmtId="4" fontId="10" fillId="5" borderId="21" xfId="0" applyNumberFormat="1" applyFont="1" applyFill="1" applyBorder="1" applyAlignment="1" applyProtection="1">
      <alignment vertical="center"/>
      <protection locked="0"/>
    </xf>
    <xf numFmtId="4" fontId="10" fillId="5" borderId="20" xfId="0" applyNumberFormat="1" applyFont="1" applyFill="1" applyBorder="1" applyAlignment="1" applyProtection="1">
      <alignment vertical="center"/>
      <protection locked="0"/>
    </xf>
    <xf numFmtId="4" fontId="11" fillId="0" borderId="30" xfId="0" applyNumberFormat="1" applyFont="1" applyBorder="1" applyAlignment="1" applyProtection="1">
      <alignment vertical="center"/>
      <protection locked="0"/>
    </xf>
    <xf numFmtId="4" fontId="11" fillId="0" borderId="32" xfId="0" applyNumberFormat="1" applyFont="1" applyFill="1" applyBorder="1" applyAlignment="1" applyProtection="1">
      <alignment horizontal="left" vertical="center" wrapText="1"/>
      <protection locked="0"/>
    </xf>
    <xf numFmtId="4" fontId="11" fillId="0" borderId="33" xfId="0" applyNumberFormat="1" applyFont="1" applyFill="1" applyBorder="1" applyAlignment="1" applyProtection="1">
      <alignment horizontal="left" vertical="center" wrapText="1"/>
      <protection locked="0"/>
    </xf>
    <xf numFmtId="4" fontId="11" fillId="0" borderId="34" xfId="0" applyNumberFormat="1" applyFont="1" applyFill="1" applyBorder="1" applyAlignment="1" applyProtection="1">
      <alignment horizontal="left" vertical="center"/>
      <protection locked="0"/>
    </xf>
    <xf numFmtId="4" fontId="11" fillId="0" borderId="35" xfId="0" applyNumberFormat="1" applyFont="1" applyFill="1" applyBorder="1" applyAlignment="1" applyProtection="1">
      <alignment horizontal="left" vertical="center"/>
      <protection locked="0"/>
    </xf>
    <xf numFmtId="4" fontId="11" fillId="0" borderId="34" xfId="0" applyNumberFormat="1" applyFont="1" applyFill="1" applyBorder="1" applyAlignment="1" applyProtection="1">
      <alignment vertical="center"/>
      <protection locked="0"/>
    </xf>
    <xf numFmtId="4" fontId="11" fillId="0" borderId="35" xfId="0" applyNumberFormat="1" applyFont="1" applyFill="1" applyBorder="1" applyAlignment="1" applyProtection="1">
      <alignment vertical="center"/>
      <protection locked="0"/>
    </xf>
    <xf numFmtId="4" fontId="8" fillId="0" borderId="30" xfId="0" applyNumberFormat="1" applyFont="1" applyBorder="1" applyAlignment="1" applyProtection="1">
      <alignment vertical="center"/>
      <protection locked="0"/>
    </xf>
    <xf numFmtId="4" fontId="8" fillId="0" borderId="39" xfId="0" applyNumberFormat="1" applyFont="1" applyFill="1" applyBorder="1" applyAlignment="1" applyProtection="1">
      <alignment vertical="center"/>
      <protection locked="0"/>
    </xf>
    <xf numFmtId="4" fontId="8" fillId="0" borderId="38" xfId="0" applyNumberFormat="1" applyFont="1" applyFill="1" applyBorder="1" applyAlignment="1" applyProtection="1">
      <alignment vertical="center"/>
      <protection locked="0"/>
    </xf>
    <xf numFmtId="4" fontId="10" fillId="4" borderId="20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21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20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Fill="1" applyAlignment="1" applyProtection="1">
      <alignment horizontal="left" vertical="center"/>
      <protection locked="0"/>
    </xf>
    <xf numFmtId="4" fontId="8" fillId="4" borderId="12" xfId="0" applyNumberFormat="1" applyFont="1" applyFill="1" applyBorder="1" applyAlignment="1" applyProtection="1">
      <alignment vertical="center"/>
      <protection locked="0"/>
    </xf>
    <xf numFmtId="4" fontId="8" fillId="4" borderId="21" xfId="0" applyNumberFormat="1" applyFont="1" applyFill="1" applyBorder="1" applyAlignment="1" applyProtection="1">
      <alignment vertical="center"/>
      <protection locked="0"/>
    </xf>
    <xf numFmtId="4" fontId="6" fillId="0" borderId="46" xfId="0" applyNumberFormat="1" applyFont="1" applyFill="1" applyBorder="1" applyAlignment="1" applyProtection="1">
      <alignment horizontal="right" vertical="center"/>
      <protection locked="0"/>
    </xf>
    <xf numFmtId="4" fontId="6" fillId="0" borderId="36" xfId="0" applyNumberFormat="1" applyFont="1" applyFill="1" applyBorder="1" applyAlignment="1" applyProtection="1">
      <alignment horizontal="right" vertical="center"/>
      <protection locked="0"/>
    </xf>
    <xf numFmtId="4" fontId="6" fillId="0" borderId="3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33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34" xfId="0" applyNumberFormat="1" applyFont="1" applyFill="1" applyBorder="1" applyAlignment="1" applyProtection="1">
      <alignment horizontal="left" vertical="center"/>
      <protection locked="0"/>
    </xf>
    <xf numFmtId="4" fontId="16" fillId="0" borderId="35" xfId="0" applyNumberFormat="1" applyFont="1" applyFill="1" applyBorder="1" applyAlignment="1" applyProtection="1">
      <alignment horizontal="left" vertical="center"/>
      <protection locked="0"/>
    </xf>
    <xf numFmtId="4" fontId="6" fillId="0" borderId="47" xfId="0" applyNumberFormat="1" applyFont="1" applyFill="1" applyBorder="1" applyAlignment="1" applyProtection="1">
      <alignment horizontal="right" vertical="center"/>
      <protection locked="0"/>
    </xf>
    <xf numFmtId="4" fontId="16" fillId="0" borderId="39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38" xfId="0" applyNumberFormat="1" applyFont="1" applyFill="1" applyBorder="1" applyAlignment="1" applyProtection="1">
      <alignment horizontal="left" vertical="center" wrapText="1"/>
      <protection locked="0"/>
    </xf>
    <xf numFmtId="4" fontId="8" fillId="4" borderId="21" xfId="0" applyNumberFormat="1" applyFont="1" applyFill="1" applyBorder="1" applyAlignment="1" applyProtection="1">
      <alignment horizontal="right" vertical="center"/>
    </xf>
    <xf numFmtId="4" fontId="6" fillId="0" borderId="32" xfId="0" applyNumberFormat="1" applyFont="1" applyBorder="1" applyAlignment="1" applyProtection="1">
      <alignment horizontal="left" vertical="center"/>
      <protection locked="0"/>
    </xf>
    <xf numFmtId="4" fontId="6" fillId="0" borderId="33" xfId="0" applyNumberFormat="1" applyFont="1" applyBorder="1" applyAlignment="1" applyProtection="1">
      <alignment horizontal="left" vertical="center"/>
      <protection locked="0"/>
    </xf>
    <xf numFmtId="4" fontId="6" fillId="0" borderId="0" xfId="0" applyNumberFormat="1" applyFont="1" applyAlignment="1">
      <alignment vertical="center"/>
    </xf>
    <xf numFmtId="4" fontId="10" fillId="4" borderId="3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20" xfId="0" applyNumberFormat="1" applyFont="1" applyFill="1" applyBorder="1" applyAlignment="1" applyProtection="1">
      <alignment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10" fillId="0" borderId="0" xfId="0" applyNumberFormat="1" applyFont="1" applyBorder="1" applyAlignment="1" applyProtection="1">
      <alignment horizontal="left" vertical="center"/>
      <protection locked="0"/>
    </xf>
    <xf numFmtId="0" fontId="7" fillId="0" borderId="21" xfId="0" applyFont="1" applyBorder="1" applyAlignment="1">
      <alignment vertical="center"/>
    </xf>
    <xf numFmtId="4" fontId="6" fillId="0" borderId="36" xfId="0" applyNumberFormat="1" applyFont="1" applyBorder="1" applyAlignment="1" applyProtection="1">
      <alignment horizontal="right" vertical="center" wrapText="1"/>
      <protection locked="0"/>
    </xf>
    <xf numFmtId="0" fontId="7" fillId="0" borderId="32" xfId="0" applyFont="1" applyFill="1" applyBorder="1" applyAlignment="1">
      <alignment vertical="center"/>
    </xf>
    <xf numFmtId="4" fontId="6" fillId="0" borderId="34" xfId="0" applyNumberFormat="1" applyFont="1" applyBorder="1" applyAlignment="1" applyProtection="1">
      <alignment horizontal="right" vertical="center" wrapText="1"/>
      <protection locked="0"/>
    </xf>
    <xf numFmtId="0" fontId="7" fillId="0" borderId="34" xfId="0" applyFont="1" applyBorder="1" applyAlignment="1">
      <alignment vertical="center"/>
    </xf>
    <xf numFmtId="4" fontId="16" fillId="0" borderId="35" xfId="0" applyNumberFormat="1" applyFont="1" applyFill="1" applyBorder="1" applyAlignment="1" applyProtection="1">
      <alignment vertical="center" wrapText="1"/>
      <protection locked="0"/>
    </xf>
    <xf numFmtId="4" fontId="6" fillId="0" borderId="39" xfId="0" applyNumberFormat="1" applyFont="1" applyBorder="1" applyAlignment="1" applyProtection="1">
      <alignment horizontal="right" vertical="center" wrapText="1"/>
      <protection locked="0"/>
    </xf>
    <xf numFmtId="4" fontId="6" fillId="0" borderId="47" xfId="0" applyNumberFormat="1" applyFont="1" applyBorder="1" applyAlignment="1" applyProtection="1">
      <alignment horizontal="right" vertical="center" wrapText="1"/>
      <protection locked="0"/>
    </xf>
    <xf numFmtId="0" fontId="7" fillId="0" borderId="39" xfId="0" applyFont="1" applyBorder="1" applyAlignment="1">
      <alignment vertical="center"/>
    </xf>
    <xf numFmtId="4" fontId="16" fillId="0" borderId="38" xfId="0" applyNumberFormat="1" applyFont="1" applyFill="1" applyBorder="1" applyAlignment="1" applyProtection="1">
      <alignment vertical="center" wrapText="1"/>
      <protection locked="0"/>
    </xf>
    <xf numFmtId="4" fontId="10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>
      <alignment horizontal="left" vertical="center"/>
    </xf>
    <xf numFmtId="4" fontId="10" fillId="5" borderId="20" xfId="0" applyNumberFormat="1" applyFont="1" applyFill="1" applyBorder="1" applyAlignment="1" applyProtection="1">
      <alignment horizontal="left" vertical="center" wrapText="1"/>
      <protection locked="0"/>
    </xf>
    <xf numFmtId="4" fontId="6" fillId="0" borderId="0" xfId="0" applyNumberFormat="1" applyFont="1" applyFill="1" applyAlignment="1" applyProtection="1">
      <alignment vertical="center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4" fontId="6" fillId="0" borderId="0" xfId="0" applyNumberFormat="1" applyFont="1" applyFill="1" applyAlignment="1">
      <alignment vertical="center"/>
    </xf>
    <xf numFmtId="4" fontId="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Border="1" applyAlignment="1" applyProtection="1">
      <alignment horizontal="justify" vertical="center"/>
      <protection locked="0"/>
    </xf>
    <xf numFmtId="4" fontId="8" fillId="5" borderId="21" xfId="0" applyNumberFormat="1" applyFont="1" applyFill="1" applyBorder="1" applyAlignment="1" applyProtection="1">
      <alignment horizontal="right" vertical="center"/>
    </xf>
    <xf numFmtId="4" fontId="8" fillId="5" borderId="40" xfId="0" applyNumberFormat="1" applyFont="1" applyFill="1" applyBorder="1" applyAlignment="1" applyProtection="1">
      <alignment horizontal="right" vertical="center"/>
    </xf>
    <xf numFmtId="4" fontId="8" fillId="5" borderId="20" xfId="0" applyNumberFormat="1" applyFont="1" applyFill="1" applyBorder="1" applyAlignment="1" applyProtection="1">
      <alignment horizontal="right" vertical="center"/>
    </xf>
    <xf numFmtId="4" fontId="8" fillId="5" borderId="21" xfId="0" applyNumberFormat="1" applyFont="1" applyFill="1" applyBorder="1" applyAlignment="1" applyProtection="1">
      <alignment horizontal="justify" vertical="center"/>
      <protection locked="0"/>
    </xf>
    <xf numFmtId="4" fontId="8" fillId="5" borderId="20" xfId="0" applyNumberFormat="1" applyFont="1" applyFill="1" applyBorder="1" applyAlignment="1" applyProtection="1">
      <alignment horizontal="justify" vertical="center"/>
      <protection locked="0"/>
    </xf>
    <xf numFmtId="4" fontId="6" fillId="0" borderId="32" xfId="0" applyNumberFormat="1" applyFont="1" applyBorder="1" applyAlignment="1" applyProtection="1">
      <alignment horizontal="right" vertical="center" wrapText="1"/>
      <protection locked="0"/>
    </xf>
    <xf numFmtId="4" fontId="6" fillId="0" borderId="44" xfId="0" applyNumberFormat="1" applyFont="1" applyBorder="1" applyAlignment="1" applyProtection="1">
      <alignment horizontal="right" vertical="center" wrapText="1"/>
      <protection locked="0"/>
    </xf>
    <xf numFmtId="4" fontId="6" fillId="0" borderId="33" xfId="0" applyNumberFormat="1" applyFont="1" applyBorder="1" applyAlignment="1" applyProtection="1">
      <alignment horizontal="right" vertical="center" wrapText="1"/>
      <protection locked="0"/>
    </xf>
    <xf numFmtId="4" fontId="6" fillId="0" borderId="46" xfId="0" applyNumberFormat="1" applyFont="1" applyBorder="1" applyAlignment="1" applyProtection="1">
      <alignment horizontal="right"/>
      <protection locked="0"/>
    </xf>
    <xf numFmtId="4" fontId="8" fillId="0" borderId="32" xfId="0" applyNumberFormat="1" applyFont="1" applyBorder="1" applyAlignment="1" applyProtection="1">
      <alignment horizontal="justify" vertical="center"/>
      <protection locked="0"/>
    </xf>
    <xf numFmtId="4" fontId="8" fillId="0" borderId="33" xfId="0" applyNumberFormat="1" applyFont="1" applyBorder="1" applyAlignment="1" applyProtection="1">
      <alignment horizontal="justify" vertical="center"/>
      <protection locked="0"/>
    </xf>
    <xf numFmtId="4" fontId="6" fillId="0" borderId="34" xfId="0" applyNumberFormat="1" applyFont="1" applyBorder="1" applyAlignment="1" applyProtection="1">
      <alignment horizontal="right" vertical="center" wrapText="1"/>
      <protection locked="0"/>
    </xf>
    <xf numFmtId="4" fontId="6" fillId="0" borderId="45" xfId="0" applyNumberFormat="1" applyFont="1" applyBorder="1" applyAlignment="1" applyProtection="1">
      <alignment horizontal="right" vertical="center" wrapText="1"/>
      <protection locked="0"/>
    </xf>
    <xf numFmtId="4" fontId="6" fillId="0" borderId="35" xfId="0" applyNumberFormat="1" applyFont="1" applyBorder="1" applyAlignment="1" applyProtection="1">
      <alignment horizontal="right" vertical="center" wrapText="1"/>
      <protection locked="0"/>
    </xf>
    <xf numFmtId="4" fontId="6" fillId="0" borderId="36" xfId="0" applyNumberFormat="1" applyFont="1" applyBorder="1" applyAlignment="1" applyProtection="1">
      <alignment horizontal="right"/>
      <protection locked="0"/>
    </xf>
    <xf numFmtId="4" fontId="8" fillId="0" borderId="34" xfId="0" applyNumberFormat="1" applyFont="1" applyBorder="1" applyAlignment="1" applyProtection="1">
      <alignment horizontal="justify" vertical="center"/>
      <protection locked="0"/>
    </xf>
    <xf numFmtId="4" fontId="8" fillId="0" borderId="35" xfId="0" applyNumberFormat="1" applyFont="1" applyBorder="1" applyAlignment="1" applyProtection="1">
      <alignment horizontal="justify" vertical="center"/>
      <protection locked="0"/>
    </xf>
    <xf numFmtId="4" fontId="8" fillId="0" borderId="55" xfId="0" applyNumberFormat="1" applyFont="1" applyBorder="1" applyAlignment="1" applyProtection="1">
      <alignment horizontal="justify" vertical="center"/>
      <protection locked="0"/>
    </xf>
    <xf numFmtId="4" fontId="8" fillId="0" borderId="56" xfId="0" applyNumberFormat="1" applyFont="1" applyBorder="1" applyAlignment="1" applyProtection="1">
      <alignment horizontal="justify" vertical="center"/>
      <protection locked="0"/>
    </xf>
    <xf numFmtId="4" fontId="11" fillId="0" borderId="34" xfId="0" applyNumberFormat="1" applyFont="1" applyBorder="1" applyAlignment="1" applyProtection="1">
      <alignment horizontal="right" vertical="center" wrapText="1"/>
      <protection locked="0"/>
    </xf>
    <xf numFmtId="4" fontId="11" fillId="0" borderId="45" xfId="0" applyNumberFormat="1" applyFont="1" applyBorder="1" applyAlignment="1" applyProtection="1">
      <alignment horizontal="right" vertical="center" wrapText="1"/>
      <protection locked="0"/>
    </xf>
    <xf numFmtId="4" fontId="11" fillId="0" borderId="35" xfId="0" applyNumberFormat="1" applyFont="1" applyBorder="1" applyAlignment="1" applyProtection="1">
      <alignment horizontal="right" vertical="center" wrapText="1"/>
      <protection locked="0"/>
    </xf>
    <xf numFmtId="4" fontId="11" fillId="0" borderId="34" xfId="0" applyNumberFormat="1" applyFont="1" applyBorder="1" applyAlignment="1" applyProtection="1">
      <alignment horizontal="justify" vertical="center"/>
      <protection locked="0"/>
    </xf>
    <xf numFmtId="4" fontId="11" fillId="0" borderId="35" xfId="0" applyNumberFormat="1" applyFont="1" applyBorder="1" applyAlignment="1" applyProtection="1">
      <alignment horizontal="justify" vertical="center"/>
      <protection locked="0"/>
    </xf>
    <xf numFmtId="4" fontId="6" fillId="0" borderId="39" xfId="0" applyNumberFormat="1" applyFont="1" applyBorder="1" applyAlignment="1" applyProtection="1">
      <alignment horizontal="left" vertical="center" wrapText="1"/>
      <protection locked="0"/>
    </xf>
    <xf numFmtId="4" fontId="6" fillId="0" borderId="48" xfId="0" applyNumberFormat="1" applyFont="1" applyBorder="1" applyAlignment="1" applyProtection="1">
      <alignment horizontal="left" vertical="center" wrapText="1"/>
      <protection locked="0"/>
    </xf>
    <xf numFmtId="4" fontId="6" fillId="0" borderId="38" xfId="0" applyNumberFormat="1" applyFont="1" applyBorder="1" applyAlignment="1" applyProtection="1">
      <alignment horizontal="left" vertical="center" wrapText="1"/>
      <protection locked="0"/>
    </xf>
    <xf numFmtId="4" fontId="6" fillId="0" borderId="47" xfId="0" applyNumberFormat="1" applyFont="1" applyBorder="1" applyAlignment="1" applyProtection="1">
      <alignment horizontal="right"/>
      <protection locked="0"/>
    </xf>
    <xf numFmtId="4" fontId="8" fillId="0" borderId="39" xfId="0" applyNumberFormat="1" applyFont="1" applyBorder="1" applyAlignment="1" applyProtection="1">
      <alignment horizontal="justify" vertical="center"/>
      <protection locked="0"/>
    </xf>
    <xf numFmtId="4" fontId="8" fillId="0" borderId="38" xfId="0" applyNumberFormat="1" applyFont="1" applyBorder="1" applyAlignment="1" applyProtection="1">
      <alignment horizontal="justify" vertical="center"/>
      <protection locked="0"/>
    </xf>
    <xf numFmtId="0" fontId="7" fillId="0" borderId="21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40" xfId="0" applyFont="1" applyBorder="1" applyAlignment="1">
      <alignment horizontal="left" vertical="center"/>
    </xf>
    <xf numFmtId="4" fontId="10" fillId="5" borderId="20" xfId="0" applyNumberFormat="1" applyFont="1" applyFill="1" applyBorder="1" applyAlignment="1">
      <alignment horizontal="left" vertical="center" wrapText="1"/>
    </xf>
    <xf numFmtId="4" fontId="10" fillId="4" borderId="40" xfId="0" applyNumberFormat="1" applyFont="1" applyFill="1" applyBorder="1" applyAlignment="1">
      <alignment horizontal="center" vertical="center" wrapText="1"/>
    </xf>
    <xf numFmtId="4" fontId="10" fillId="5" borderId="21" xfId="0" applyNumberFormat="1" applyFont="1" applyFill="1" applyBorder="1" applyAlignment="1">
      <alignment horizontal="center" vertical="center"/>
    </xf>
    <xf numFmtId="4" fontId="10" fillId="5" borderId="2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left" vertical="center" wrapText="1"/>
    </xf>
    <xf numFmtId="4" fontId="6" fillId="0" borderId="0" xfId="0" applyNumberFormat="1" applyFont="1" applyAlignment="1">
      <alignment vertical="center" wrapText="1"/>
    </xf>
    <xf numFmtId="4" fontId="8" fillId="5" borderId="21" xfId="0" applyNumberFormat="1" applyFont="1" applyFill="1" applyBorder="1" applyAlignment="1" applyProtection="1">
      <alignment horizontal="right" vertical="center" wrapText="1"/>
    </xf>
    <xf numFmtId="4" fontId="8" fillId="5" borderId="21" xfId="0" applyNumberFormat="1" applyFont="1" applyFill="1" applyBorder="1" applyAlignment="1" applyProtection="1">
      <alignment vertical="center" wrapText="1"/>
      <protection locked="0"/>
    </xf>
    <xf numFmtId="4" fontId="6" fillId="0" borderId="30" xfId="0" applyNumberFormat="1" applyFont="1" applyBorder="1" applyAlignment="1" applyProtection="1">
      <alignment horizontal="right" vertical="center" wrapText="1"/>
      <protection locked="0"/>
    </xf>
    <xf numFmtId="4" fontId="6" fillId="0" borderId="32" xfId="0" applyNumberFormat="1" applyFont="1" applyBorder="1" applyAlignment="1" applyProtection="1">
      <alignment vertical="center" wrapText="1"/>
      <protection locked="0"/>
    </xf>
    <xf numFmtId="4" fontId="6" fillId="0" borderId="33" xfId="0" applyNumberFormat="1" applyFont="1" applyBorder="1" applyAlignment="1" applyProtection="1">
      <alignment vertical="center" wrapText="1"/>
      <protection locked="0"/>
    </xf>
    <xf numFmtId="4" fontId="6" fillId="0" borderId="34" xfId="0" applyNumberFormat="1" applyFont="1" applyBorder="1" applyAlignment="1" applyProtection="1">
      <alignment vertical="center" wrapText="1"/>
      <protection locked="0"/>
    </xf>
    <xf numFmtId="4" fontId="6" fillId="0" borderId="35" xfId="0" applyNumberFormat="1" applyFont="1" applyBorder="1" applyAlignment="1" applyProtection="1">
      <alignment vertical="center" wrapText="1"/>
      <protection locked="0"/>
    </xf>
    <xf numFmtId="4" fontId="6" fillId="0" borderId="39" xfId="0" applyNumberFormat="1" applyFont="1" applyBorder="1" applyAlignment="1" applyProtection="1">
      <alignment vertical="center" wrapText="1"/>
      <protection locked="0"/>
    </xf>
    <xf numFmtId="4" fontId="6" fillId="0" borderId="38" xfId="0" applyNumberFormat="1" applyFont="1" applyBorder="1" applyAlignment="1" applyProtection="1">
      <alignment vertical="center" wrapText="1"/>
      <protection locked="0"/>
    </xf>
    <xf numFmtId="4" fontId="8" fillId="5" borderId="40" xfId="0" applyNumberFormat="1" applyFont="1" applyFill="1" applyBorder="1" applyAlignment="1" applyProtection="1">
      <alignment horizontal="right" vertical="center" wrapText="1"/>
    </xf>
    <xf numFmtId="4" fontId="10" fillId="5" borderId="12" xfId="0" applyNumberFormat="1" applyFont="1" applyFill="1" applyBorder="1" applyAlignment="1" applyProtection="1">
      <alignment horizontal="right" vertical="center" wrapText="1"/>
    </xf>
    <xf numFmtId="4" fontId="10" fillId="5" borderId="40" xfId="0" applyNumberFormat="1" applyFont="1" applyFill="1" applyBorder="1" applyAlignment="1" applyProtection="1">
      <alignment horizontal="right" vertical="center" wrapText="1"/>
    </xf>
    <xf numFmtId="4" fontId="10" fillId="4" borderId="4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NumberFormat="1" applyFont="1" applyAlignment="1" applyProtection="1">
      <alignment horizontal="left" vertical="center" wrapText="1"/>
      <protection locked="0"/>
    </xf>
    <xf numFmtId="4" fontId="8" fillId="5" borderId="70" xfId="0" applyNumberFormat="1" applyFont="1" applyFill="1" applyBorder="1" applyAlignment="1" applyProtection="1">
      <alignment horizontal="right" vertical="center" wrapText="1"/>
    </xf>
    <xf numFmtId="4" fontId="8" fillId="5" borderId="69" xfId="0" applyNumberFormat="1" applyFont="1" applyFill="1" applyBorder="1" applyAlignment="1" applyProtection="1">
      <alignment horizontal="right" vertical="center" wrapText="1"/>
    </xf>
    <xf numFmtId="4" fontId="8" fillId="4" borderId="60" xfId="0" applyNumberFormat="1" applyFont="1" applyFill="1" applyBorder="1" applyAlignment="1" applyProtection="1">
      <alignment vertical="center" wrapText="1"/>
      <protection locked="0"/>
    </xf>
    <xf numFmtId="4" fontId="8" fillId="4" borderId="40" xfId="0" applyNumberFormat="1" applyFont="1" applyFill="1" applyBorder="1" applyAlignment="1" applyProtection="1">
      <alignment vertical="center" wrapText="1"/>
      <protection locked="0"/>
    </xf>
    <xf numFmtId="4" fontId="8" fillId="0" borderId="50" xfId="0" applyNumberFormat="1" applyFont="1" applyFill="1" applyBorder="1" applyAlignment="1" applyProtection="1">
      <alignment horizontal="right" vertical="center" wrapText="1"/>
    </xf>
    <xf numFmtId="4" fontId="6" fillId="0" borderId="64" xfId="0" applyNumberFormat="1" applyFont="1" applyBorder="1" applyAlignment="1" applyProtection="1">
      <alignment horizontal="right" vertical="center" wrapText="1"/>
      <protection locked="0"/>
    </xf>
    <xf numFmtId="4" fontId="6" fillId="0" borderId="71" xfId="0" applyNumberFormat="1" applyFont="1" applyBorder="1" applyAlignment="1" applyProtection="1">
      <alignment horizontal="right" vertical="center" wrapText="1"/>
      <protection locked="0"/>
    </xf>
    <xf numFmtId="4" fontId="8" fillId="0" borderId="45" xfId="0" applyNumberFormat="1" applyFont="1" applyFill="1" applyBorder="1" applyAlignment="1" applyProtection="1">
      <alignment vertical="center" wrapText="1"/>
      <protection locked="0"/>
    </xf>
    <xf numFmtId="4" fontId="8" fillId="0" borderId="35" xfId="0" applyNumberFormat="1" applyFont="1" applyFill="1" applyBorder="1" applyAlignment="1" applyProtection="1">
      <alignment vertical="center" wrapText="1"/>
      <protection locked="0"/>
    </xf>
    <xf numFmtId="4" fontId="8" fillId="0" borderId="72" xfId="0" applyNumberFormat="1" applyFont="1" applyFill="1" applyBorder="1" applyAlignment="1" applyProtection="1">
      <alignment horizontal="right" vertical="center" wrapText="1"/>
    </xf>
    <xf numFmtId="4" fontId="6" fillId="0" borderId="62" xfId="0" applyNumberFormat="1" applyFont="1" applyBorder="1" applyAlignment="1" applyProtection="1">
      <alignment horizontal="right" vertical="center" wrapText="1"/>
      <protection locked="0"/>
    </xf>
    <xf numFmtId="4" fontId="6" fillId="0" borderId="63" xfId="0" applyNumberFormat="1" applyFont="1" applyBorder="1" applyAlignment="1" applyProtection="1">
      <alignment horizontal="right" vertical="center" wrapText="1"/>
      <protection locked="0"/>
    </xf>
    <xf numFmtId="4" fontId="10" fillId="0" borderId="45" xfId="0" applyNumberFormat="1" applyFont="1" applyFill="1" applyBorder="1" applyAlignment="1" applyProtection="1">
      <alignment vertical="center" wrapText="1"/>
      <protection locked="0"/>
    </xf>
    <xf numFmtId="4" fontId="10" fillId="0" borderId="35" xfId="0" applyNumberFormat="1" applyFont="1" applyFill="1" applyBorder="1" applyAlignment="1" applyProtection="1">
      <alignment vertical="center" wrapText="1"/>
      <protection locked="0"/>
    </xf>
    <xf numFmtId="4" fontId="8" fillId="0" borderId="41" xfId="0" applyNumberFormat="1" applyFont="1" applyFill="1" applyBorder="1" applyAlignment="1" applyProtection="1">
      <alignment horizontal="right" vertical="center" wrapText="1"/>
    </xf>
    <xf numFmtId="4" fontId="6" fillId="0" borderId="65" xfId="0" applyNumberFormat="1" applyFont="1" applyBorder="1" applyAlignment="1" applyProtection="1">
      <alignment horizontal="right" vertical="center" wrapText="1"/>
      <protection locked="0"/>
    </xf>
    <xf numFmtId="4" fontId="6" fillId="0" borderId="73" xfId="0" applyNumberFormat="1" applyFont="1" applyBorder="1" applyAlignment="1" applyProtection="1">
      <alignment horizontal="right" vertical="center" wrapText="1"/>
      <protection locked="0"/>
    </xf>
    <xf numFmtId="4" fontId="10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8" fillId="5" borderId="57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57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57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60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20" xfId="0" applyNumberFormat="1" applyFont="1" applyFill="1" applyBorder="1" applyAlignment="1" applyProtection="1">
      <alignment vertical="center"/>
      <protection locked="0"/>
    </xf>
    <xf numFmtId="44" fontId="8" fillId="4" borderId="21" xfId="1" applyFont="1" applyFill="1" applyBorder="1" applyAlignment="1" applyProtection="1">
      <alignment horizontal="left" vertical="center" wrapText="1"/>
      <protection locked="0"/>
    </xf>
    <xf numFmtId="44" fontId="8" fillId="4" borderId="40" xfId="1" applyFont="1" applyFill="1" applyBorder="1" applyAlignment="1" applyProtection="1">
      <alignment horizontal="left" vertical="center" wrapText="1"/>
      <protection locked="0"/>
    </xf>
    <xf numFmtId="44" fontId="8" fillId="4" borderId="20" xfId="1" applyFont="1" applyFill="1" applyBorder="1" applyAlignment="1" applyProtection="1">
      <alignment horizontal="left" vertical="center" wrapText="1"/>
      <protection locked="0"/>
    </xf>
    <xf numFmtId="4" fontId="6" fillId="0" borderId="32" xfId="0" applyNumberFormat="1" applyFont="1" applyFill="1" applyBorder="1" applyAlignment="1" applyProtection="1">
      <alignment vertical="center"/>
      <protection locked="0"/>
    </xf>
    <xf numFmtId="4" fontId="6" fillId="0" borderId="46" xfId="0" applyNumberFormat="1" applyFont="1" applyFill="1" applyBorder="1" applyAlignment="1" applyProtection="1">
      <alignment vertical="center"/>
      <protection locked="0"/>
    </xf>
    <xf numFmtId="4" fontId="16" fillId="0" borderId="37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31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36" xfId="0" applyNumberFormat="1" applyFont="1" applyFill="1" applyBorder="1" applyAlignment="1" applyProtection="1">
      <alignment vertical="center"/>
      <protection locked="0"/>
    </xf>
    <xf numFmtId="4" fontId="6" fillId="0" borderId="34" xfId="0" applyNumberFormat="1" applyFont="1" applyFill="1" applyBorder="1" applyAlignment="1" applyProtection="1">
      <alignment vertical="center"/>
      <protection locked="0"/>
    </xf>
    <xf numFmtId="0" fontId="7" fillId="0" borderId="34" xfId="0" applyFont="1" applyFill="1" applyBorder="1" applyAlignment="1">
      <alignment horizontal="left" vertical="center" wrapText="1"/>
    </xf>
    <xf numFmtId="0" fontId="7" fillId="0" borderId="45" xfId="0" applyFont="1" applyFill="1" applyBorder="1" applyAlignment="1">
      <alignment horizontal="left" vertical="center" wrapText="1"/>
    </xf>
    <xf numFmtId="4" fontId="16" fillId="0" borderId="35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30" xfId="0" applyNumberFormat="1" applyFont="1" applyFill="1" applyBorder="1" applyAlignment="1" applyProtection="1">
      <alignment vertical="center"/>
      <protection locked="0"/>
    </xf>
    <xf numFmtId="49" fontId="8" fillId="0" borderId="30" xfId="0" applyNumberFormat="1" applyFont="1" applyFill="1" applyBorder="1" applyAlignment="1" applyProtection="1">
      <alignment vertical="center"/>
      <protection locked="0"/>
    </xf>
    <xf numFmtId="4" fontId="6" fillId="0" borderId="47" xfId="0" applyNumberFormat="1" applyFont="1" applyFill="1" applyBorder="1" applyAlignment="1" applyProtection="1">
      <alignment vertical="center"/>
      <protection locked="0"/>
    </xf>
    <xf numFmtId="4" fontId="16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47" xfId="0" applyNumberFormat="1" applyFont="1" applyFill="1" applyBorder="1" applyAlignment="1" applyProtection="1">
      <alignment vertical="center"/>
      <protection locked="0"/>
    </xf>
    <xf numFmtId="4" fontId="10" fillId="5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57" xfId="0" applyNumberFormat="1" applyFont="1" applyFill="1" applyBorder="1" applyAlignment="1" applyProtection="1">
      <alignment horizontal="center" vertical="center" wrapText="1"/>
      <protection locked="0"/>
    </xf>
    <xf numFmtId="4" fontId="6" fillId="5" borderId="59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11" xfId="0" applyNumberFormat="1" applyFont="1" applyFill="1" applyBorder="1" applyAlignment="1" applyProtection="1">
      <alignment horizontal="center" vertical="center"/>
      <protection locked="0"/>
    </xf>
    <xf numFmtId="4" fontId="10" fillId="4" borderId="10" xfId="0" applyNumberFormat="1" applyFont="1" applyFill="1" applyBorder="1" applyAlignment="1" applyProtection="1">
      <alignment horizontal="center" vertical="center"/>
      <protection locked="0"/>
    </xf>
    <xf numFmtId="4" fontId="10" fillId="4" borderId="9" xfId="0" applyNumberFormat="1" applyFont="1" applyFill="1" applyBorder="1" applyAlignment="1" applyProtection="1">
      <alignment horizontal="center" vertical="center"/>
      <protection locked="0"/>
    </xf>
    <xf numFmtId="4" fontId="10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4" borderId="4" xfId="0" applyNumberFormat="1" applyFont="1" applyFill="1" applyBorder="1" applyAlignment="1" applyProtection="1">
      <alignment horizontal="center" vertical="center"/>
      <protection locked="0"/>
    </xf>
    <xf numFmtId="4" fontId="10" fillId="4" borderId="3" xfId="0" applyNumberFormat="1" applyFont="1" applyFill="1" applyBorder="1" applyAlignment="1" applyProtection="1">
      <alignment horizontal="center" vertical="center"/>
      <protection locked="0"/>
    </xf>
    <xf numFmtId="4" fontId="10" fillId="4" borderId="2" xfId="0" applyNumberFormat="1" applyFont="1" applyFill="1" applyBorder="1" applyAlignment="1" applyProtection="1">
      <alignment horizontal="center" vertical="center"/>
      <protection locked="0"/>
    </xf>
    <xf numFmtId="4" fontId="10" fillId="0" borderId="0" xfId="0" applyNumberFormat="1" applyFont="1" applyFill="1" applyBorder="1" applyAlignment="1" applyProtection="1">
      <alignment horizontal="left" vertical="center"/>
      <protection locked="0"/>
    </xf>
    <xf numFmtId="4" fontId="8" fillId="5" borderId="12" xfId="0" applyNumberFormat="1" applyFont="1" applyFill="1" applyBorder="1" applyAlignment="1">
      <alignment vertical="center"/>
    </xf>
    <xf numFmtId="4" fontId="8" fillId="5" borderId="40" xfId="0" applyNumberFormat="1" applyFont="1" applyFill="1" applyBorder="1" applyAlignment="1">
      <alignment vertical="center"/>
    </xf>
    <xf numFmtId="4" fontId="8" fillId="5" borderId="21" xfId="0" applyNumberFormat="1" applyFont="1" applyFill="1" applyBorder="1" applyAlignment="1">
      <alignment horizontal="left" vertical="center"/>
    </xf>
    <xf numFmtId="4" fontId="8" fillId="5" borderId="20" xfId="0" applyNumberFormat="1" applyFont="1" applyFill="1" applyBorder="1" applyAlignment="1">
      <alignment horizontal="left" vertical="center"/>
    </xf>
    <xf numFmtId="4" fontId="6" fillId="0" borderId="30" xfId="0" applyNumberFormat="1" applyFont="1" applyFill="1" applyBorder="1" applyAlignment="1">
      <alignment vertical="center"/>
    </xf>
    <xf numFmtId="3" fontId="6" fillId="0" borderId="30" xfId="0" applyNumberFormat="1" applyFont="1" applyFill="1" applyBorder="1" applyAlignment="1">
      <alignment vertical="center"/>
    </xf>
    <xf numFmtId="0" fontId="7" fillId="0" borderId="74" xfId="0" applyFont="1" applyBorder="1" applyAlignment="1">
      <alignment wrapText="1"/>
    </xf>
    <xf numFmtId="0" fontId="7" fillId="0" borderId="7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7" fillId="0" borderId="25" xfId="0" applyFont="1" applyBorder="1" applyAlignment="1">
      <alignment wrapText="1"/>
    </xf>
    <xf numFmtId="0" fontId="7" fillId="0" borderId="26" xfId="0" applyFont="1" applyFill="1" applyBorder="1" applyAlignment="1">
      <alignment wrapText="1"/>
    </xf>
    <xf numFmtId="0" fontId="7" fillId="0" borderId="25" xfId="0" applyFont="1" applyFill="1" applyBorder="1" applyAlignment="1">
      <alignment wrapText="1"/>
    </xf>
    <xf numFmtId="0" fontId="7" fillId="0" borderId="26" xfId="0" applyFont="1" applyBorder="1" applyAlignment="1">
      <alignment horizontal="left" wrapText="1"/>
    </xf>
    <xf numFmtId="0" fontId="7" fillId="0" borderId="25" xfId="0" applyFont="1" applyBorder="1" applyAlignment="1">
      <alignment horizontal="left" wrapText="1"/>
    </xf>
    <xf numFmtId="0" fontId="7" fillId="0" borderId="76" xfId="0" applyFont="1" applyBorder="1" applyAlignment="1">
      <alignment wrapText="1"/>
    </xf>
    <xf numFmtId="0" fontId="7" fillId="0" borderId="77" xfId="0" applyFont="1" applyBorder="1" applyAlignment="1">
      <alignment wrapText="1"/>
    </xf>
    <xf numFmtId="4" fontId="8" fillId="6" borderId="39" xfId="0" applyNumberFormat="1" applyFont="1" applyFill="1" applyBorder="1" applyAlignment="1">
      <alignment vertical="center"/>
    </xf>
    <xf numFmtId="4" fontId="8" fillId="6" borderId="48" xfId="0" applyNumberFormat="1" applyFont="1" applyFill="1" applyBorder="1" applyAlignment="1">
      <alignment vertical="center"/>
    </xf>
    <xf numFmtId="0" fontId="7" fillId="6" borderId="48" xfId="0" applyFont="1" applyFill="1" applyBorder="1" applyAlignment="1">
      <alignment vertical="center"/>
    </xf>
    <xf numFmtId="4" fontId="10" fillId="6" borderId="38" xfId="0" applyNumberFormat="1" applyFont="1" applyFill="1" applyBorder="1" applyAlignment="1">
      <alignment horizontal="left" vertical="center" wrapText="1"/>
    </xf>
    <xf numFmtId="4" fontId="8" fillId="5" borderId="21" xfId="0" applyNumberFormat="1" applyFont="1" applyFill="1" applyBorder="1" applyAlignment="1">
      <alignment horizontal="center" vertical="center" wrapText="1"/>
    </xf>
    <xf numFmtId="4" fontId="8" fillId="5" borderId="40" xfId="0" applyNumberFormat="1" applyFont="1" applyFill="1" applyBorder="1" applyAlignment="1">
      <alignment horizontal="center" vertical="center" wrapText="1"/>
    </xf>
    <xf numFmtId="3" fontId="6" fillId="0" borderId="36" xfId="0" applyNumberFormat="1" applyFont="1" applyFill="1" applyBorder="1" applyAlignment="1">
      <alignment vertical="center"/>
    </xf>
    <xf numFmtId="4" fontId="6" fillId="0" borderId="36" xfId="0" applyNumberFormat="1" applyFont="1" applyFill="1" applyBorder="1" applyAlignment="1">
      <alignment vertical="center"/>
    </xf>
    <xf numFmtId="0" fontId="7" fillId="0" borderId="76" xfId="0" applyFont="1" applyFill="1" applyBorder="1" applyAlignment="1">
      <alignment wrapText="1"/>
    </xf>
    <xf numFmtId="0" fontId="7" fillId="0" borderId="77" xfId="0" applyFont="1" applyFill="1" applyBorder="1" applyAlignment="1">
      <alignment wrapText="1"/>
    </xf>
    <xf numFmtId="0" fontId="7" fillId="0" borderId="21" xfId="0" applyFont="1" applyBorder="1" applyAlignment="1">
      <alignment horizontal="center" vertical="center"/>
    </xf>
    <xf numFmtId="4" fontId="8" fillId="0" borderId="0" xfId="0" applyNumberFormat="1" applyFont="1" applyAlignment="1">
      <alignment vertical="center" wrapText="1"/>
    </xf>
    <xf numFmtId="4" fontId="7" fillId="0" borderId="78" xfId="0" applyNumberFormat="1" applyFont="1" applyFill="1" applyBorder="1" applyAlignment="1">
      <alignment horizontal="right"/>
    </xf>
    <xf numFmtId="4" fontId="7" fillId="0" borderId="79" xfId="0" applyNumberFormat="1" applyFont="1" applyFill="1" applyBorder="1" applyAlignment="1">
      <alignment horizontal="right"/>
    </xf>
    <xf numFmtId="0" fontId="22" fillId="0" borderId="80" xfId="0" applyFont="1" applyFill="1" applyBorder="1" applyAlignment="1">
      <alignment horizontal="left" wrapText="1" indent="1"/>
    </xf>
    <xf numFmtId="0" fontId="22" fillId="0" borderId="81" xfId="0" applyFont="1" applyFill="1" applyBorder="1" applyAlignment="1">
      <alignment horizontal="left" wrapText="1" indent="1"/>
    </xf>
    <xf numFmtId="4" fontId="7" fillId="0" borderId="82" xfId="0" applyNumberFormat="1" applyFont="1" applyFill="1" applyBorder="1" applyAlignment="1">
      <alignment horizontal="right"/>
    </xf>
    <xf numFmtId="4" fontId="7" fillId="0" borderId="83" xfId="0" applyNumberFormat="1" applyFont="1" applyFill="1" applyBorder="1" applyAlignment="1">
      <alignment horizontal="right"/>
    </xf>
    <xf numFmtId="0" fontId="22" fillId="0" borderId="84" xfId="0" applyFont="1" applyFill="1" applyBorder="1" applyAlignment="1">
      <alignment horizontal="left" wrapText="1" indent="1"/>
    </xf>
    <xf numFmtId="0" fontId="22" fillId="0" borderId="25" xfId="0" applyFont="1" applyFill="1" applyBorder="1" applyAlignment="1">
      <alignment horizontal="left" wrapText="1" indent="1"/>
    </xf>
    <xf numFmtId="4" fontId="7" fillId="0" borderId="85" xfId="0" applyNumberFormat="1" applyFont="1" applyFill="1" applyBorder="1" applyAlignment="1">
      <alignment horizontal="right"/>
    </xf>
    <xf numFmtId="4" fontId="7" fillId="0" borderId="86" xfId="0" applyNumberFormat="1" applyFont="1" applyFill="1" applyBorder="1" applyAlignment="1">
      <alignment horizontal="right"/>
    </xf>
    <xf numFmtId="0" fontId="22" fillId="0" borderId="87" xfId="0" applyFont="1" applyFill="1" applyBorder="1" applyAlignment="1">
      <alignment horizontal="left" wrapText="1" indent="1"/>
    </xf>
    <xf numFmtId="0" fontId="22" fillId="0" borderId="88" xfId="0" applyFont="1" applyFill="1" applyBorder="1" applyAlignment="1">
      <alignment horizontal="left" wrapText="1" indent="1"/>
    </xf>
    <xf numFmtId="4" fontId="7" fillId="0" borderId="89" xfId="0" applyNumberFormat="1" applyFont="1" applyBorder="1" applyAlignment="1">
      <alignment horizontal="right"/>
    </xf>
    <xf numFmtId="4" fontId="7" fillId="0" borderId="90" xfId="0" applyNumberFormat="1" applyFont="1" applyBorder="1" applyAlignment="1">
      <alignment horizontal="right"/>
    </xf>
    <xf numFmtId="0" fontId="7" fillId="0" borderId="91" xfId="0" applyFont="1" applyBorder="1" applyAlignment="1">
      <alignment wrapText="1"/>
    </xf>
    <xf numFmtId="0" fontId="7" fillId="0" borderId="27" xfId="0" applyFont="1" applyBorder="1" applyAlignment="1">
      <alignment wrapText="1"/>
    </xf>
    <xf numFmtId="4" fontId="7" fillId="0" borderId="92" xfId="0" applyNumberFormat="1" applyFont="1" applyBorder="1" applyAlignment="1">
      <alignment horizontal="right"/>
    </xf>
    <xf numFmtId="4" fontId="7" fillId="0" borderId="93" xfId="0" applyNumberFormat="1" applyFont="1" applyBorder="1" applyAlignment="1">
      <alignment horizontal="right"/>
    </xf>
    <xf numFmtId="0" fontId="7" fillId="0" borderId="84" xfId="0" applyFont="1" applyBorder="1" applyAlignment="1">
      <alignment wrapText="1"/>
    </xf>
    <xf numFmtId="0" fontId="12" fillId="7" borderId="94" xfId="0" applyFont="1" applyFill="1" applyBorder="1" applyAlignment="1">
      <alignment horizontal="center" wrapText="1"/>
    </xf>
    <xf numFmtId="0" fontId="12" fillId="7" borderId="95" xfId="0" applyFont="1" applyFill="1" applyBorder="1" applyAlignment="1">
      <alignment horizontal="center" wrapText="1"/>
    </xf>
    <xf numFmtId="0" fontId="12" fillId="7" borderId="96" xfId="0" applyFont="1" applyFill="1" applyBorder="1" applyAlignment="1">
      <alignment wrapText="1"/>
    </xf>
    <xf numFmtId="0" fontId="12" fillId="7" borderId="22" xfId="0" applyFont="1" applyFill="1" applyBorder="1" applyAlignment="1">
      <alignment wrapText="1"/>
    </xf>
    <xf numFmtId="0" fontId="12" fillId="0" borderId="0" xfId="0" applyFont="1" applyBorder="1" applyAlignment="1">
      <alignment horizontal="left" wrapText="1"/>
    </xf>
    <xf numFmtId="14" fontId="12" fillId="0" borderId="0" xfId="0" applyNumberFormat="1" applyFont="1" applyBorder="1" applyAlignment="1">
      <alignment horizontal="left" wrapText="1"/>
    </xf>
    <xf numFmtId="0" fontId="7" fillId="0" borderId="0" xfId="0" applyFont="1" applyAlignment="1">
      <alignment horizontal="left"/>
    </xf>
    <xf numFmtId="4" fontId="7" fillId="0" borderId="97" xfId="0" applyNumberFormat="1" applyFont="1" applyBorder="1" applyAlignment="1">
      <alignment horizontal="right"/>
    </xf>
    <xf numFmtId="4" fontId="7" fillId="0" borderId="64" xfId="0" applyNumberFormat="1" applyFont="1" applyBorder="1" applyAlignment="1">
      <alignment horizontal="right"/>
    </xf>
    <xf numFmtId="0" fontId="7" fillId="0" borderId="71" xfId="0" applyFont="1" applyBorder="1" applyAlignment="1">
      <alignment wrapText="1"/>
    </xf>
    <xf numFmtId="0" fontId="7" fillId="7" borderId="73" xfId="0" applyFont="1" applyFill="1" applyBorder="1" applyAlignment="1">
      <alignment horizontal="center" wrapText="1"/>
    </xf>
    <xf numFmtId="4" fontId="12" fillId="8" borderId="46" xfId="0" applyNumberFormat="1" applyFont="1" applyFill="1" applyBorder="1" applyAlignment="1">
      <alignment horizontal="right"/>
    </xf>
    <xf numFmtId="4" fontId="12" fillId="8" borderId="71" xfId="0" applyNumberFormat="1" applyFont="1" applyFill="1" applyBorder="1" applyAlignment="1">
      <alignment horizontal="right"/>
    </xf>
    <xf numFmtId="0" fontId="12" fillId="4" borderId="8" xfId="0" applyFont="1" applyFill="1" applyBorder="1" applyAlignment="1">
      <alignment wrapText="1"/>
    </xf>
    <xf numFmtId="4" fontId="22" fillId="0" borderId="76" xfId="0" applyNumberFormat="1" applyFont="1" applyBorder="1" applyAlignment="1">
      <alignment horizontal="right"/>
    </xf>
    <xf numFmtId="4" fontId="22" fillId="0" borderId="62" xfId="0" applyNumberFormat="1" applyFont="1" applyBorder="1" applyAlignment="1">
      <alignment horizontal="right"/>
    </xf>
    <xf numFmtId="4" fontId="22" fillId="0" borderId="63" xfId="0" applyNumberFormat="1" applyFont="1" applyBorder="1" applyAlignment="1">
      <alignment horizontal="right"/>
    </xf>
    <xf numFmtId="4" fontId="22" fillId="0" borderId="72" xfId="0" applyNumberFormat="1" applyFont="1" applyBorder="1" applyAlignment="1">
      <alignment horizontal="right"/>
    </xf>
    <xf numFmtId="4" fontId="22" fillId="0" borderId="77" xfId="0" applyNumberFormat="1" applyFont="1" applyBorder="1" applyAlignment="1">
      <alignment horizontal="right"/>
    </xf>
    <xf numFmtId="0" fontId="23" fillId="0" borderId="36" xfId="0" applyFont="1" applyFill="1" applyBorder="1" applyAlignment="1">
      <alignment vertical="center" wrapText="1"/>
    </xf>
    <xf numFmtId="4" fontId="12" fillId="0" borderId="34" xfId="0" applyNumberFormat="1" applyFont="1" applyBorder="1" applyAlignment="1">
      <alignment horizontal="right"/>
    </xf>
    <xf numFmtId="4" fontId="12" fillId="0" borderId="61" xfId="0" applyNumberFormat="1" applyFont="1" applyBorder="1" applyAlignment="1">
      <alignment horizontal="right"/>
    </xf>
    <xf numFmtId="4" fontId="12" fillId="0" borderId="63" xfId="0" applyNumberFormat="1" applyFont="1" applyBorder="1" applyAlignment="1">
      <alignment horizontal="right"/>
    </xf>
    <xf numFmtId="0" fontId="12" fillId="0" borderId="36" xfId="0" applyFont="1" applyBorder="1" applyAlignment="1">
      <alignment wrapText="1"/>
    </xf>
    <xf numFmtId="0" fontId="12" fillId="7" borderId="37" xfId="0" applyFont="1" applyFill="1" applyBorder="1" applyAlignment="1">
      <alignment horizontal="center" wrapText="1"/>
    </xf>
    <xf numFmtId="0" fontId="12" fillId="7" borderId="67" xfId="0" applyFont="1" applyFill="1" applyBorder="1" applyAlignment="1">
      <alignment horizontal="center" wrapText="1"/>
    </xf>
    <xf numFmtId="0" fontId="12" fillId="7" borderId="68" xfId="0" applyFont="1" applyFill="1" applyBorder="1" applyAlignment="1">
      <alignment horizontal="center" wrapText="1"/>
    </xf>
    <xf numFmtId="0" fontId="12" fillId="7" borderId="34" xfId="0" applyFont="1" applyFill="1" applyBorder="1" applyAlignment="1">
      <alignment horizontal="center" wrapText="1"/>
    </xf>
    <xf numFmtId="0" fontId="12" fillId="7" borderId="62" xfId="0" applyFont="1" applyFill="1" applyBorder="1" applyAlignment="1">
      <alignment horizontal="center" wrapText="1"/>
    </xf>
    <xf numFmtId="0" fontId="12" fillId="7" borderId="63" xfId="0" applyFont="1" applyFill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12" fillId="7" borderId="39" xfId="0" applyFont="1" applyFill="1" applyBorder="1" applyAlignment="1">
      <alignment horizontal="center" wrapText="1"/>
    </xf>
    <xf numFmtId="0" fontId="12" fillId="7" borderId="48" xfId="0" applyFont="1" applyFill="1" applyBorder="1" applyAlignment="1">
      <alignment horizontal="center" wrapText="1"/>
    </xf>
    <xf numFmtId="0" fontId="12" fillId="7" borderId="38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horizontal="right"/>
    </xf>
    <xf numFmtId="4" fontId="10" fillId="4" borderId="8" xfId="2" applyNumberFormat="1" applyFont="1" applyFill="1" applyBorder="1" applyAlignment="1" applyProtection="1">
      <alignment vertical="center"/>
    </xf>
    <xf numFmtId="0" fontId="12" fillId="4" borderId="98" xfId="0" applyFont="1" applyFill="1" applyBorder="1"/>
    <xf numFmtId="4" fontId="10" fillId="4" borderId="34" xfId="2" applyNumberFormat="1" applyFont="1" applyFill="1" applyBorder="1" applyAlignment="1" applyProtection="1">
      <alignment vertical="center"/>
    </xf>
    <xf numFmtId="4" fontId="10" fillId="4" borderId="36" xfId="2" applyNumberFormat="1" applyFont="1" applyFill="1" applyBorder="1" applyAlignment="1" applyProtection="1">
      <alignment vertical="center"/>
    </xf>
    <xf numFmtId="0" fontId="12" fillId="4" borderId="99" xfId="0" applyFont="1" applyFill="1" applyBorder="1"/>
    <xf numFmtId="0" fontId="7" fillId="0" borderId="4" xfId="0" applyFont="1" applyBorder="1" applyAlignment="1"/>
    <xf numFmtId="0" fontId="7" fillId="0" borderId="3" xfId="0" applyFont="1" applyBorder="1" applyAlignment="1"/>
    <xf numFmtId="0" fontId="25" fillId="2" borderId="3" xfId="0" applyFont="1" applyFill="1" applyBorder="1" applyAlignment="1"/>
    <xf numFmtId="0" fontId="25" fillId="2" borderId="2" xfId="0" applyFont="1" applyFill="1" applyBorder="1" applyAlignment="1"/>
    <xf numFmtId="4" fontId="10" fillId="4" borderId="32" xfId="2" applyNumberFormat="1" applyFont="1" applyFill="1" applyBorder="1" applyAlignment="1" applyProtection="1">
      <alignment vertical="center"/>
    </xf>
    <xf numFmtId="4" fontId="10" fillId="4" borderId="46" xfId="2" applyNumberFormat="1" applyFont="1" applyFill="1" applyBorder="1" applyAlignment="1" applyProtection="1">
      <alignment vertical="center"/>
    </xf>
    <xf numFmtId="0" fontId="10" fillId="4" borderId="46" xfId="2" applyFont="1" applyFill="1" applyBorder="1" applyAlignment="1" applyProtection="1">
      <alignment vertical="center" wrapText="1"/>
    </xf>
    <xf numFmtId="4" fontId="16" fillId="0" borderId="34" xfId="2" applyNumberFormat="1" applyFont="1" applyFill="1" applyBorder="1" applyAlignment="1" applyProtection="1">
      <alignment vertical="center"/>
    </xf>
    <xf numFmtId="4" fontId="16" fillId="0" borderId="36" xfId="2" applyNumberFormat="1" applyFont="1" applyFill="1" applyBorder="1" applyAlignment="1" applyProtection="1">
      <alignment vertical="center"/>
    </xf>
    <xf numFmtId="0" fontId="10" fillId="0" borderId="36" xfId="2" applyFont="1" applyFill="1" applyBorder="1" applyAlignment="1" applyProtection="1">
      <alignment vertical="center" wrapText="1"/>
    </xf>
    <xf numFmtId="4" fontId="10" fillId="4" borderId="37" xfId="2" applyNumberFormat="1" applyFont="1" applyFill="1" applyBorder="1" applyAlignment="1" applyProtection="1">
      <alignment vertical="center"/>
    </xf>
    <xf numFmtId="4" fontId="10" fillId="4" borderId="30" xfId="2" applyNumberFormat="1" applyFont="1" applyFill="1" applyBorder="1" applyAlignment="1" applyProtection="1">
      <alignment vertical="center"/>
    </xf>
    <xf numFmtId="0" fontId="10" fillId="4" borderId="30" xfId="2" applyFont="1" applyFill="1" applyBorder="1" applyAlignment="1" applyProtection="1">
      <alignment vertical="center" wrapText="1"/>
    </xf>
    <xf numFmtId="0" fontId="16" fillId="0" borderId="39" xfId="2" applyFont="1" applyFill="1" applyBorder="1" applyAlignment="1" applyProtection="1">
      <alignment vertical="center"/>
    </xf>
    <xf numFmtId="0" fontId="16" fillId="0" borderId="48" xfId="2" applyFont="1" applyFill="1" applyBorder="1" applyAlignment="1" applyProtection="1">
      <alignment vertical="center"/>
    </xf>
    <xf numFmtId="0" fontId="10" fillId="0" borderId="38" xfId="2" applyFont="1" applyFill="1" applyBorder="1" applyAlignment="1" applyProtection="1">
      <alignment horizontal="centerContinuous" vertical="center"/>
    </xf>
    <xf numFmtId="4" fontId="9" fillId="0" borderId="100" xfId="2" applyNumberFormat="1" applyFont="1" applyFill="1" applyBorder="1" applyAlignment="1" applyProtection="1">
      <alignment vertical="center"/>
    </xf>
    <xf numFmtId="4" fontId="9" fillId="0" borderId="101" xfId="2" applyNumberFormat="1" applyFont="1" applyFill="1" applyBorder="1" applyAlignment="1" applyProtection="1">
      <alignment vertical="center"/>
      <protection locked="0"/>
    </xf>
    <xf numFmtId="0" fontId="9" fillId="0" borderId="101" xfId="2" quotePrefix="1" applyFont="1" applyFill="1" applyBorder="1" applyAlignment="1" applyProtection="1">
      <alignment vertical="center" wrapText="1"/>
      <protection locked="0"/>
    </xf>
    <xf numFmtId="0" fontId="9" fillId="0" borderId="101" xfId="2" applyFont="1" applyFill="1" applyBorder="1" applyAlignment="1" applyProtection="1">
      <alignment vertical="center" wrapText="1"/>
    </xf>
    <xf numFmtId="4" fontId="10" fillId="0" borderId="34" xfId="2" applyNumberFormat="1" applyFont="1" applyFill="1" applyBorder="1" applyAlignment="1" applyProtection="1">
      <alignment vertical="center"/>
    </xf>
    <xf numFmtId="4" fontId="10" fillId="0" borderId="36" xfId="2" applyNumberFormat="1" applyFont="1" applyFill="1" applyBorder="1" applyAlignment="1" applyProtection="1">
      <alignment vertical="center"/>
    </xf>
    <xf numFmtId="0" fontId="10" fillId="0" borderId="39" xfId="2" applyFont="1" applyFill="1" applyBorder="1" applyAlignment="1" applyProtection="1">
      <alignment horizontal="center" vertical="center" wrapText="1"/>
    </xf>
    <xf numFmtId="4" fontId="10" fillId="0" borderId="48" xfId="2" applyNumberFormat="1" applyFont="1" applyFill="1" applyBorder="1" applyAlignment="1" applyProtection="1">
      <alignment horizontal="center" vertical="center" wrapText="1"/>
    </xf>
    <xf numFmtId="0" fontId="10" fillId="0" borderId="38" xfId="2" applyFont="1" applyFill="1" applyBorder="1" applyAlignment="1" applyProtection="1">
      <alignment horizontal="center" vertical="center"/>
    </xf>
    <xf numFmtId="0" fontId="10" fillId="4" borderId="21" xfId="2" applyFont="1" applyFill="1" applyBorder="1" applyAlignment="1" applyProtection="1">
      <alignment horizontal="center" vertical="center" wrapText="1"/>
    </xf>
    <xf numFmtId="4" fontId="10" fillId="4" borderId="12" xfId="2" applyNumberFormat="1" applyFont="1" applyFill="1" applyBorder="1" applyAlignment="1" applyProtection="1">
      <alignment horizontal="center" vertical="center" wrapText="1"/>
    </xf>
    <xf numFmtId="0" fontId="10" fillId="4" borderId="12" xfId="2" applyFont="1" applyFill="1" applyBorder="1" applyAlignment="1" applyProtection="1">
      <alignment horizontal="center" vertical="center" wrapText="1"/>
    </xf>
    <xf numFmtId="0" fontId="16" fillId="0" borderId="0" xfId="2" applyFont="1" applyFill="1" applyAlignment="1" applyProtection="1">
      <alignment vertical="center"/>
    </xf>
    <xf numFmtId="0" fontId="16" fillId="0" borderId="0" xfId="2" applyFont="1" applyFill="1" applyAlignment="1" applyProtection="1">
      <alignment vertical="center" wrapText="1"/>
    </xf>
    <xf numFmtId="0" fontId="1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4" fontId="12" fillId="7" borderId="102" xfId="0" applyNumberFormat="1" applyFont="1" applyFill="1" applyBorder="1" applyAlignment="1">
      <alignment horizontal="right"/>
    </xf>
    <xf numFmtId="0" fontId="12" fillId="4" borderId="103" xfId="0" applyFont="1" applyFill="1" applyBorder="1" applyAlignment="1">
      <alignment horizontal="left"/>
    </xf>
    <xf numFmtId="0" fontId="12" fillId="4" borderId="81" xfId="0" applyFont="1" applyFill="1" applyBorder="1" applyAlignment="1">
      <alignment horizontal="left"/>
    </xf>
    <xf numFmtId="4" fontId="12" fillId="7" borderId="26" xfId="0" applyNumberFormat="1" applyFont="1" applyFill="1" applyBorder="1" applyAlignment="1">
      <alignment horizontal="right"/>
    </xf>
    <xf numFmtId="0" fontId="12" fillId="4" borderId="104" xfId="0" applyFont="1" applyFill="1" applyBorder="1" applyAlignment="1">
      <alignment horizontal="left"/>
    </xf>
    <xf numFmtId="0" fontId="12" fillId="4" borderId="25" xfId="0" applyFont="1" applyFill="1" applyBorder="1" applyAlignment="1">
      <alignment horizontal="left"/>
    </xf>
    <xf numFmtId="0" fontId="7" fillId="0" borderId="26" xfId="0" applyFont="1" applyBorder="1" applyAlignment="1"/>
    <xf numFmtId="0" fontId="25" fillId="2" borderId="105" xfId="0" applyFont="1" applyFill="1" applyBorder="1" applyAlignment="1"/>
    <xf numFmtId="0" fontId="25" fillId="2" borderId="25" xfId="0" applyFont="1" applyFill="1" applyBorder="1" applyAlignment="1"/>
    <xf numFmtId="4" fontId="12" fillId="0" borderId="26" xfId="0" applyNumberFormat="1" applyFont="1" applyFill="1" applyBorder="1" applyAlignment="1">
      <alignment horizontal="right"/>
    </xf>
    <xf numFmtId="0" fontId="12" fillId="0" borderId="104" xfId="0" applyFont="1" applyFill="1" applyBorder="1"/>
    <xf numFmtId="0" fontId="12" fillId="0" borderId="25" xfId="0" applyFont="1" applyFill="1" applyBorder="1"/>
    <xf numFmtId="4" fontId="22" fillId="0" borderId="26" xfId="0" applyNumberFormat="1" applyFont="1" applyBorder="1" applyAlignment="1">
      <alignment horizontal="right"/>
    </xf>
    <xf numFmtId="0" fontId="22" fillId="0" borderId="104" xfId="0" applyFont="1" applyFill="1" applyBorder="1"/>
    <xf numFmtId="0" fontId="22" fillId="0" borderId="25" xfId="0" applyFont="1" applyFill="1" applyBorder="1"/>
    <xf numFmtId="4" fontId="26" fillId="0" borderId="105" xfId="0" applyNumberFormat="1" applyFont="1" applyFill="1" applyBorder="1" applyAlignment="1">
      <alignment vertical="center"/>
    </xf>
    <xf numFmtId="4" fontId="26" fillId="0" borderId="25" xfId="0" applyNumberFormat="1" applyFont="1" applyFill="1" applyBorder="1" applyAlignment="1">
      <alignment vertical="center"/>
    </xf>
    <xf numFmtId="4" fontId="12" fillId="2" borderId="106" xfId="0" applyNumberFormat="1" applyFont="1" applyFill="1" applyBorder="1" applyAlignment="1">
      <alignment horizontal="right"/>
    </xf>
    <xf numFmtId="0" fontId="12" fillId="2" borderId="107" xfId="0" applyFont="1" applyFill="1" applyBorder="1"/>
    <xf numFmtId="0" fontId="12" fillId="2" borderId="77" xfId="0" applyFont="1" applyFill="1" applyBorder="1"/>
    <xf numFmtId="0" fontId="22" fillId="0" borderId="108" xfId="0" applyFont="1" applyBorder="1"/>
    <xf numFmtId="0" fontId="22" fillId="0" borderId="75" xfId="0" applyFont="1" applyBorder="1"/>
    <xf numFmtId="0" fontId="22" fillId="0" borderId="104" xfId="0" applyFont="1" applyBorder="1"/>
    <xf numFmtId="0" fontId="22" fillId="0" borderId="25" xfId="0" applyFont="1" applyBorder="1"/>
    <xf numFmtId="4" fontId="12" fillId="2" borderId="26" xfId="0" applyNumberFormat="1" applyFont="1" applyFill="1" applyBorder="1" applyAlignment="1">
      <alignment horizontal="right"/>
    </xf>
    <xf numFmtId="0" fontId="12" fillId="2" borderId="104" xfId="0" applyFont="1" applyFill="1" applyBorder="1"/>
    <xf numFmtId="0" fontId="12" fillId="2" borderId="25" xfId="0" applyFont="1" applyFill="1" applyBorder="1"/>
    <xf numFmtId="0" fontId="7" fillId="0" borderId="106" xfId="0" applyFont="1" applyBorder="1" applyAlignment="1">
      <alignment horizontal="center" vertical="center" wrapText="1"/>
    </xf>
    <xf numFmtId="0" fontId="7" fillId="0" borderId="109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4" fontId="12" fillId="4" borderId="110" xfId="0" applyNumberFormat="1" applyFont="1" applyFill="1" applyBorder="1" applyAlignment="1">
      <alignment horizontal="right"/>
    </xf>
    <xf numFmtId="4" fontId="12" fillId="4" borderId="111" xfId="0" applyNumberFormat="1" applyFont="1" applyFill="1" applyBorder="1" applyAlignment="1">
      <alignment horizontal="right"/>
    </xf>
    <xf numFmtId="4" fontId="12" fillId="4" borderId="92" xfId="0" applyNumberFormat="1" applyFont="1" applyFill="1" applyBorder="1" applyAlignment="1">
      <alignment horizontal="right"/>
    </xf>
    <xf numFmtId="4" fontId="12" fillId="4" borderId="93" xfId="0" applyNumberFormat="1" applyFont="1" applyFill="1" applyBorder="1" applyAlignment="1">
      <alignment horizontal="right"/>
    </xf>
    <xf numFmtId="0" fontId="25" fillId="0" borderId="26" xfId="0" applyFont="1" applyFill="1" applyBorder="1"/>
    <xf numFmtId="0" fontId="25" fillId="0" borderId="109" xfId="0" applyFont="1" applyFill="1" applyBorder="1"/>
    <xf numFmtId="0" fontId="25" fillId="0" borderId="25" xfId="0" applyFont="1" applyFill="1" applyBorder="1"/>
    <xf numFmtId="4" fontId="12" fillId="0" borderId="62" xfId="0" applyNumberFormat="1" applyFont="1" applyFill="1" applyBorder="1" applyAlignment="1">
      <alignment horizontal="right"/>
    </xf>
    <xf numFmtId="0" fontId="12" fillId="0" borderId="99" xfId="0" applyFont="1" applyFill="1" applyBorder="1"/>
    <xf numFmtId="4" fontId="22" fillId="0" borderId="92" xfId="0" applyNumberFormat="1" applyFont="1" applyFill="1" applyBorder="1" applyAlignment="1">
      <alignment horizontal="right"/>
    </xf>
    <xf numFmtId="4" fontId="22" fillId="0" borderId="93" xfId="0" applyNumberFormat="1" applyFont="1" applyFill="1" applyBorder="1" applyAlignment="1">
      <alignment horizontal="right"/>
    </xf>
    <xf numFmtId="0" fontId="22" fillId="0" borderId="99" xfId="0" applyFont="1" applyFill="1" applyBorder="1"/>
    <xf numFmtId="4" fontId="12" fillId="0" borderId="92" xfId="0" applyNumberFormat="1" applyFont="1" applyFill="1" applyBorder="1" applyAlignment="1">
      <alignment horizontal="right"/>
    </xf>
    <xf numFmtId="4" fontId="12" fillId="0" borderId="93" xfId="0" applyNumberFormat="1" applyFont="1" applyFill="1" applyBorder="1" applyAlignment="1">
      <alignment horizontal="right"/>
    </xf>
    <xf numFmtId="0" fontId="25" fillId="0" borderId="105" xfId="0" applyFont="1" applyFill="1" applyBorder="1"/>
    <xf numFmtId="0" fontId="12" fillId="4" borderId="112" xfId="0" applyFont="1" applyFill="1" applyBorder="1" applyAlignment="1">
      <alignment horizontal="center" wrapText="1"/>
    </xf>
    <xf numFmtId="0" fontId="12" fillId="4" borderId="86" xfId="0" applyFont="1" applyFill="1" applyBorder="1" applyAlignment="1">
      <alignment horizontal="center" wrapText="1"/>
    </xf>
    <xf numFmtId="0" fontId="12" fillId="4" borderId="87" xfId="0" applyFont="1" applyFill="1" applyBorder="1" applyAlignment="1">
      <alignment horizontal="center" wrapText="1"/>
    </xf>
    <xf numFmtId="0" fontId="12" fillId="4" borderId="62" xfId="0" applyFont="1" applyFill="1" applyBorder="1" applyAlignment="1">
      <alignment horizontal="center" wrapText="1"/>
    </xf>
    <xf numFmtId="0" fontId="14" fillId="4" borderId="62" xfId="2" applyFont="1" applyFill="1" applyBorder="1" applyAlignment="1">
      <alignment wrapText="1"/>
    </xf>
    <xf numFmtId="0" fontId="12" fillId="4" borderId="88" xfId="0" applyFont="1" applyFill="1" applyBorder="1" applyAlignment="1">
      <alignment horizontal="center" wrapText="1"/>
    </xf>
    <xf numFmtId="0" fontId="12" fillId="4" borderId="17" xfId="0" applyFont="1" applyFill="1" applyBorder="1" applyAlignment="1">
      <alignment horizontal="center" wrapText="1"/>
    </xf>
    <xf numFmtId="0" fontId="12" fillId="4" borderId="113" xfId="0" applyFont="1" applyFill="1" applyBorder="1" applyAlignment="1">
      <alignment horizontal="center" wrapText="1"/>
    </xf>
    <xf numFmtId="0" fontId="12" fillId="4" borderId="114" xfId="0" applyFont="1" applyFill="1" applyBorder="1" applyAlignment="1">
      <alignment horizontal="center" wrapText="1"/>
    </xf>
    <xf numFmtId="0" fontId="12" fillId="4" borderId="65" xfId="0" applyFont="1" applyFill="1" applyBorder="1" applyAlignment="1">
      <alignment horizontal="center" wrapText="1"/>
    </xf>
    <xf numFmtId="0" fontId="14" fillId="4" borderId="65" xfId="2" applyFont="1" applyFill="1" applyBorder="1" applyAlignment="1">
      <alignment wrapText="1"/>
    </xf>
    <xf numFmtId="0" fontId="12" fillId="4" borderId="2" xfId="0" applyFont="1" applyFill="1" applyBorder="1" applyAlignment="1">
      <alignment horizontal="center" wrapText="1"/>
    </xf>
    <xf numFmtId="0" fontId="12" fillId="0" borderId="10" xfId="0" applyFont="1" applyFill="1" applyBorder="1" applyAlignment="1">
      <alignment horizontal="center" wrapText="1"/>
    </xf>
    <xf numFmtId="0" fontId="12" fillId="4" borderId="21" xfId="0" applyFont="1" applyFill="1" applyBorder="1" applyAlignment="1">
      <alignment horizontal="center" wrapText="1"/>
    </xf>
    <xf numFmtId="0" fontId="12" fillId="4" borderId="40" xfId="0" applyFont="1" applyFill="1" applyBorder="1" applyAlignment="1">
      <alignment horizontal="center" wrapText="1"/>
    </xf>
    <xf numFmtId="0" fontId="12" fillId="4" borderId="20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7" fillId="0" borderId="10" xfId="0" applyFont="1" applyBorder="1" applyAlignment="1">
      <alignment wrapText="1"/>
    </xf>
    <xf numFmtId="4" fontId="6" fillId="0" borderId="0" xfId="0" applyNumberFormat="1" applyFont="1" applyAlignment="1">
      <alignment vertical="top"/>
    </xf>
    <xf numFmtId="4" fontId="8" fillId="0" borderId="0" xfId="3" applyNumberFormat="1" applyFont="1" applyAlignment="1">
      <alignment horizontal="left" vertical="top" wrapText="1"/>
    </xf>
    <xf numFmtId="4" fontId="16" fillId="0" borderId="0" xfId="0" applyNumberFormat="1" applyFont="1" applyAlignment="1">
      <alignment horizontal="left" vertical="top"/>
    </xf>
    <xf numFmtId="4" fontId="16" fillId="0" borderId="0" xfId="0" applyNumberFormat="1" applyFont="1" applyAlignment="1">
      <alignment horizontal="left"/>
    </xf>
  </cellXfs>
  <cellStyles count="4">
    <cellStyle name="Normal 3" xfId="3"/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ydzia&#322;_KK.04/Sprawozdania%202023%20Wydzia&#322;%20Ksi&#281;gowo&#347;ci/SF_UM_2023/SF_UM_2023_Kor1/SF_UM_2023_Kor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lans 31.12.2023"/>
      <sheetName val="RZiS 31.12.2023"/>
      <sheetName val="ZZwFJ 31.12.2023"/>
      <sheetName val="II.Dodatk_info"/>
      <sheetName val="Aktywa BO"/>
      <sheetName val="Pasywa BO"/>
      <sheetName val="RZiS BO"/>
      <sheetName val="ZZwFJ BO"/>
      <sheetName val="Aktywa BZ"/>
      <sheetName val="Pasywa BZ"/>
      <sheetName val="RZiS BZ"/>
      <sheetName val="ZZwJ BZ"/>
      <sheetName val="Nota II.1.1.a"/>
      <sheetName val="Nota II.1.b"/>
      <sheetName val="Nota II.1.1.c"/>
      <sheetName val="Nota II.1.2"/>
      <sheetName val="Nota II.1.3"/>
      <sheetName val="Nota II.1.4"/>
      <sheetName val="Nota II.1.5"/>
      <sheetName val="Nota II.1.6"/>
      <sheetName val="Nota II.1.7."/>
      <sheetName val="Nota II.1.8"/>
      <sheetName val="Nota II.1.9"/>
      <sheetName val="Nota II.1.10"/>
      <sheetName val="Nota II.1.11"/>
      <sheetName val="Nota II.1.12a"/>
      <sheetName val="Nota II.1.12b"/>
      <sheetName val="Nota II.1.13a"/>
      <sheetName val="Nota II.1.13b"/>
      <sheetName val="Nota II.1.14"/>
      <sheetName val="Nota II.1.15"/>
      <sheetName val="Nota II.1.16a"/>
      <sheetName val="Nota II.1.16b"/>
      <sheetName val="Nota II.2.1"/>
      <sheetName val="Nota II.2.2."/>
      <sheetName val="Nota II.2.3."/>
      <sheetName val="Nota II.2.4"/>
      <sheetName val="Nota II.2.5a"/>
      <sheetName val="Nota II.2.5b"/>
      <sheetName val="Nota II.2.5.c"/>
      <sheetName val="Nota II.2.5.d"/>
      <sheetName val="Nota II.2.5.e"/>
      <sheetName val="Nota II.2.5.f"/>
      <sheetName val="dopłaty"/>
      <sheetName val="Nota II.2.5.g"/>
      <sheetName val="Nota II.3.1"/>
      <sheetName val="Nota II.3.2"/>
      <sheetName val="II.3.3."/>
    </sheetNames>
    <sheetDataSet>
      <sheetData sheetId="0">
        <row r="8">
          <cell r="F8">
            <v>18511382361.830002</v>
          </cell>
        </row>
        <row r="9">
          <cell r="F9">
            <v>3530789348.48</v>
          </cell>
        </row>
        <row r="10">
          <cell r="E10">
            <v>14656227296.540001</v>
          </cell>
          <cell r="F10">
            <v>14980593013.35</v>
          </cell>
        </row>
      </sheetData>
      <sheetData sheetId="1">
        <row r="45">
          <cell r="C45">
            <v>14656227296.539999</v>
          </cell>
          <cell r="D45">
            <v>14980593013.349995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74">
          <cell r="B74">
            <v>8942305804.1299992</v>
          </cell>
          <cell r="C74">
            <v>192770834.28999999</v>
          </cell>
          <cell r="D74">
            <v>4203733785.48</v>
          </cell>
          <cell r="E74">
            <v>246146687.15000001</v>
          </cell>
          <cell r="F74">
            <v>6218685.3200000003</v>
          </cell>
          <cell r="G74">
            <v>237721280.66</v>
          </cell>
          <cell r="H74">
            <v>1400548764.02</v>
          </cell>
        </row>
        <row r="76">
          <cell r="B76">
            <v>238702918.84</v>
          </cell>
          <cell r="C76">
            <v>230460.66</v>
          </cell>
          <cell r="D76">
            <v>27627149.100000001</v>
          </cell>
          <cell r="E76">
            <v>1092124.81</v>
          </cell>
          <cell r="F76">
            <v>624069.91</v>
          </cell>
          <cell r="G76">
            <v>18306284.579999998</v>
          </cell>
          <cell r="H76">
            <v>643039723.77999997</v>
          </cell>
        </row>
        <row r="77">
          <cell r="B77">
            <v>615894097.04999995</v>
          </cell>
          <cell r="C77">
            <v>1569586.96</v>
          </cell>
          <cell r="D77">
            <v>92056215.049999997</v>
          </cell>
          <cell r="E77">
            <v>1070761.6000000001</v>
          </cell>
          <cell r="F77">
            <v>92341</v>
          </cell>
          <cell r="G77">
            <v>3196117.82</v>
          </cell>
          <cell r="H77">
            <v>509939592.27999997</v>
          </cell>
        </row>
        <row r="78">
          <cell r="B78">
            <v>2273847.4300000002</v>
          </cell>
          <cell r="C78">
            <v>0</v>
          </cell>
          <cell r="D78">
            <v>70519193.180000007</v>
          </cell>
          <cell r="E78">
            <v>26553970.559999999</v>
          </cell>
          <cell r="F78">
            <v>285930.25</v>
          </cell>
          <cell r="G78">
            <v>809533.16</v>
          </cell>
          <cell r="H78">
            <v>-100442474.58</v>
          </cell>
        </row>
        <row r="80">
          <cell r="B80">
            <v>9301746.9000000004</v>
          </cell>
          <cell r="C80">
            <v>250127.43</v>
          </cell>
          <cell r="D80">
            <v>8602876.3499999996</v>
          </cell>
          <cell r="E80">
            <v>6938921.1600000001</v>
          </cell>
          <cell r="F80">
            <v>183033</v>
          </cell>
          <cell r="G80">
            <v>6238164.79</v>
          </cell>
          <cell r="H80">
            <v>23556992.399999999</v>
          </cell>
        </row>
        <row r="81">
          <cell r="B81">
            <v>239898546.94999999</v>
          </cell>
          <cell r="C81">
            <v>34716514.359999999</v>
          </cell>
          <cell r="D81">
            <v>50974501.890000001</v>
          </cell>
          <cell r="E81">
            <v>3845723.63</v>
          </cell>
          <cell r="F81">
            <v>92341</v>
          </cell>
          <cell r="G81">
            <v>3029711.85</v>
          </cell>
          <cell r="H81">
            <v>405150478.62</v>
          </cell>
        </row>
        <row r="84">
          <cell r="B84">
            <v>52680072.530000001</v>
          </cell>
          <cell r="C84">
            <v>0</v>
          </cell>
          <cell r="D84">
            <v>1974245769.4100001</v>
          </cell>
          <cell r="E84">
            <v>206177901.08000001</v>
          </cell>
          <cell r="F84">
            <v>5731154.1299999999</v>
          </cell>
          <cell r="G84">
            <v>204991816.87</v>
          </cell>
          <cell r="H84">
            <v>0</v>
          </cell>
        </row>
        <row r="86">
          <cell r="B86">
            <v>6541781.9299999997</v>
          </cell>
          <cell r="C86">
            <v>0</v>
          </cell>
          <cell r="D86">
            <v>134889508.31999999</v>
          </cell>
          <cell r="E86">
            <v>15203979.25</v>
          </cell>
          <cell r="F86">
            <v>229533.29</v>
          </cell>
          <cell r="G86">
            <v>5052535.8899999997</v>
          </cell>
          <cell r="H86">
            <v>0</v>
          </cell>
        </row>
        <row r="87">
          <cell r="B87">
            <v>2024007.83</v>
          </cell>
          <cell r="C87">
            <v>0</v>
          </cell>
          <cell r="D87">
            <v>1746888.9</v>
          </cell>
          <cell r="E87">
            <v>858630.56</v>
          </cell>
          <cell r="F87">
            <v>92341</v>
          </cell>
          <cell r="G87">
            <v>18180943.48</v>
          </cell>
          <cell r="H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90">
          <cell r="B90">
            <v>0</v>
          </cell>
          <cell r="C90">
            <v>0</v>
          </cell>
          <cell r="D90">
            <v>7436133.3099999996</v>
          </cell>
          <cell r="E90">
            <v>6982687.5899999999</v>
          </cell>
          <cell r="F90">
            <v>209518</v>
          </cell>
          <cell r="G90">
            <v>6245580.2599999998</v>
          </cell>
          <cell r="H90">
            <v>0</v>
          </cell>
        </row>
        <row r="91">
          <cell r="B91">
            <v>1968515.51</v>
          </cell>
          <cell r="C91">
            <v>0</v>
          </cell>
          <cell r="D91">
            <v>8493335.8800000008</v>
          </cell>
          <cell r="E91">
            <v>836914.27</v>
          </cell>
          <cell r="F91">
            <v>65856</v>
          </cell>
          <cell r="G91">
            <v>3055896.05</v>
          </cell>
          <cell r="H91">
            <v>0</v>
          </cell>
        </row>
        <row r="94">
          <cell r="B94">
            <v>17538760.010000002</v>
          </cell>
          <cell r="C94">
            <v>17538760.010000002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4396633.4800000004</v>
          </cell>
        </row>
        <row r="95">
          <cell r="B95">
            <v>1269358.93</v>
          </cell>
          <cell r="C95">
            <v>1269358.93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8610</v>
          </cell>
        </row>
        <row r="96">
          <cell r="B96">
            <v>2133949.5099999998</v>
          </cell>
          <cell r="C96">
            <v>2133949.5099999998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</sheetData>
      <sheetData sheetId="13">
        <row r="23">
          <cell r="B23">
            <v>0</v>
          </cell>
        </row>
        <row r="56">
          <cell r="B56">
            <v>0</v>
          </cell>
        </row>
        <row r="57">
          <cell r="B57">
            <v>0</v>
          </cell>
        </row>
        <row r="70">
          <cell r="B70">
            <v>204992173.28999999</v>
          </cell>
        </row>
        <row r="72">
          <cell r="B72">
            <v>16899127.629999999</v>
          </cell>
        </row>
        <row r="73">
          <cell r="B73">
            <v>941404.31</v>
          </cell>
        </row>
        <row r="75">
          <cell r="B75">
            <v>6355689.4500000002</v>
          </cell>
        </row>
        <row r="76">
          <cell r="B76">
            <v>740274.11</v>
          </cell>
        </row>
        <row r="79">
          <cell r="B79">
            <v>170692305.49000001</v>
          </cell>
        </row>
        <row r="81">
          <cell r="B81">
            <v>10831924.92</v>
          </cell>
        </row>
        <row r="82">
          <cell r="B82">
            <v>3039983.4</v>
          </cell>
        </row>
        <row r="84">
          <cell r="B84">
            <v>810350.51</v>
          </cell>
        </row>
        <row r="85">
          <cell r="B85">
            <v>0</v>
          </cell>
        </row>
      </sheetData>
      <sheetData sheetId="14">
        <row r="66">
          <cell r="C66">
            <v>423749.74</v>
          </cell>
          <cell r="D66">
            <v>18780484.579999998</v>
          </cell>
          <cell r="E66">
            <v>0</v>
          </cell>
        </row>
        <row r="68">
          <cell r="C68">
            <v>0</v>
          </cell>
          <cell r="D68">
            <v>0</v>
          </cell>
          <cell r="E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</row>
        <row r="76">
          <cell r="C76">
            <v>0</v>
          </cell>
          <cell r="D76">
            <v>0</v>
          </cell>
          <cell r="E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</row>
        <row r="79">
          <cell r="C79">
            <v>0</v>
          </cell>
          <cell r="D79">
            <v>0</v>
          </cell>
          <cell r="E79">
            <v>0</v>
          </cell>
        </row>
      </sheetData>
      <sheetData sheetId="15" refreshError="1"/>
      <sheetData sheetId="16">
        <row r="60">
          <cell r="B60">
            <v>0</v>
          </cell>
          <cell r="C60">
            <v>21935393.489999998</v>
          </cell>
          <cell r="D60">
            <v>0</v>
          </cell>
          <cell r="E60">
            <v>48721994.420000002</v>
          </cell>
          <cell r="F60">
            <v>0</v>
          </cell>
          <cell r="G60">
            <v>46003178.729999997</v>
          </cell>
          <cell r="H60">
            <v>0</v>
          </cell>
          <cell r="I60">
            <v>0</v>
          </cell>
        </row>
        <row r="61">
          <cell r="B61">
            <v>0</v>
          </cell>
          <cell r="C61">
            <v>1277968.93</v>
          </cell>
          <cell r="D61">
            <v>0</v>
          </cell>
          <cell r="E61">
            <v>2959968.37</v>
          </cell>
          <cell r="F61">
            <v>0</v>
          </cell>
          <cell r="G61">
            <v>21511202.91</v>
          </cell>
          <cell r="H61">
            <v>0</v>
          </cell>
          <cell r="I61">
            <v>0</v>
          </cell>
        </row>
        <row r="62">
          <cell r="B62">
            <v>0</v>
          </cell>
          <cell r="C62">
            <v>2133949.5099999998</v>
          </cell>
          <cell r="D62">
            <v>0</v>
          </cell>
          <cell r="E62">
            <v>0</v>
          </cell>
          <cell r="F62">
            <v>0</v>
          </cell>
          <cell r="G62">
            <v>12280719.560000001</v>
          </cell>
          <cell r="H62">
            <v>0</v>
          </cell>
          <cell r="I62">
            <v>0</v>
          </cell>
        </row>
        <row r="63">
          <cell r="B63">
            <v>0</v>
          </cell>
          <cell r="C63">
            <v>21079412.91</v>
          </cell>
          <cell r="D63">
            <v>0</v>
          </cell>
          <cell r="E63">
            <v>51681962.789999999</v>
          </cell>
          <cell r="F63">
            <v>0</v>
          </cell>
          <cell r="G63">
            <v>55233662.079999998</v>
          </cell>
          <cell r="H63">
            <v>0</v>
          </cell>
          <cell r="I63">
            <v>0</v>
          </cell>
        </row>
      </sheetData>
      <sheetData sheetId="17">
        <row r="26">
          <cell r="B26">
            <v>224246069.03999999</v>
          </cell>
          <cell r="C26">
            <v>230044899.18000001</v>
          </cell>
        </row>
      </sheetData>
      <sheetData sheetId="18">
        <row r="40">
          <cell r="B40">
            <v>0</v>
          </cell>
          <cell r="C40">
            <v>0</v>
          </cell>
        </row>
        <row r="41">
          <cell r="B41">
            <v>0</v>
          </cell>
          <cell r="C41">
            <v>0</v>
          </cell>
        </row>
        <row r="42">
          <cell r="B42">
            <v>446079.89</v>
          </cell>
          <cell r="C42">
            <v>415715.2</v>
          </cell>
        </row>
        <row r="43">
          <cell r="B43">
            <v>223361</v>
          </cell>
          <cell r="C43">
            <v>282703</v>
          </cell>
        </row>
        <row r="44">
          <cell r="B44">
            <v>18074.919999999998</v>
          </cell>
          <cell r="C44">
            <v>18074.919999999998</v>
          </cell>
        </row>
      </sheetData>
      <sheetData sheetId="19">
        <row r="351">
          <cell r="C351">
            <v>10406</v>
          </cell>
          <cell r="D351">
            <v>100</v>
          </cell>
          <cell r="E351">
            <v>520300</v>
          </cell>
          <cell r="F351">
            <v>0</v>
          </cell>
          <cell r="G351">
            <v>520300</v>
          </cell>
          <cell r="H351">
            <v>145864.10999999999</v>
          </cell>
          <cell r="I351">
            <v>1914483.55</v>
          </cell>
        </row>
        <row r="352">
          <cell r="C352">
            <v>657835</v>
          </cell>
          <cell r="D352">
            <v>100</v>
          </cell>
          <cell r="E352">
            <v>328917500</v>
          </cell>
          <cell r="F352">
            <v>0</v>
          </cell>
          <cell r="G352">
            <v>328917500</v>
          </cell>
          <cell r="H352">
            <v>925257.29</v>
          </cell>
          <cell r="I352">
            <v>660692358.27999997</v>
          </cell>
        </row>
        <row r="353">
          <cell r="C353">
            <v>585616</v>
          </cell>
          <cell r="D353">
            <v>100</v>
          </cell>
          <cell r="E353">
            <v>292808000</v>
          </cell>
          <cell r="F353">
            <v>0</v>
          </cell>
          <cell r="G353">
            <v>292808000</v>
          </cell>
          <cell r="H353">
            <v>-41401961.18</v>
          </cell>
          <cell r="I353">
            <v>704028218.19000006</v>
          </cell>
        </row>
        <row r="354">
          <cell r="C354">
            <v>361739</v>
          </cell>
          <cell r="D354">
            <v>100</v>
          </cell>
          <cell r="E354">
            <v>180869500</v>
          </cell>
          <cell r="F354">
            <v>0</v>
          </cell>
          <cell r="G354">
            <v>180869500</v>
          </cell>
          <cell r="H354">
            <v>6029410.3300000001</v>
          </cell>
          <cell r="I354">
            <v>287739351.24000001</v>
          </cell>
        </row>
        <row r="355">
          <cell r="C355">
            <v>27345751</v>
          </cell>
          <cell r="D355">
            <v>100</v>
          </cell>
          <cell r="E355">
            <v>2734575100</v>
          </cell>
          <cell r="F355">
            <v>0</v>
          </cell>
          <cell r="G355">
            <v>2734575100</v>
          </cell>
          <cell r="H355">
            <v>-99679189.819999993</v>
          </cell>
          <cell r="I355">
            <v>4521469471.0299997</v>
          </cell>
        </row>
        <row r="356">
          <cell r="C356">
            <v>1133516</v>
          </cell>
          <cell r="D356">
            <v>100</v>
          </cell>
          <cell r="E356">
            <v>566758000</v>
          </cell>
          <cell r="F356">
            <v>0</v>
          </cell>
          <cell r="G356">
            <v>566758000</v>
          </cell>
          <cell r="H356">
            <v>2737625.4</v>
          </cell>
          <cell r="I356">
            <v>762707269.16999996</v>
          </cell>
        </row>
        <row r="357">
          <cell r="C357">
            <v>10000</v>
          </cell>
          <cell r="D357">
            <v>100</v>
          </cell>
          <cell r="E357">
            <v>5000000</v>
          </cell>
          <cell r="F357">
            <v>0</v>
          </cell>
          <cell r="G357">
            <v>5000000</v>
          </cell>
          <cell r="H357">
            <v>2778632.62</v>
          </cell>
          <cell r="I357">
            <v>25602832.940000001</v>
          </cell>
        </row>
        <row r="358">
          <cell r="C358">
            <v>24601</v>
          </cell>
          <cell r="D358">
            <v>100</v>
          </cell>
          <cell r="E358">
            <v>1230050</v>
          </cell>
          <cell r="F358">
            <v>0</v>
          </cell>
          <cell r="G358">
            <v>1230050</v>
          </cell>
          <cell r="H358">
            <v>509297.94</v>
          </cell>
          <cell r="I358">
            <v>7712522.6900000004</v>
          </cell>
        </row>
        <row r="359">
          <cell r="C359">
            <v>80500</v>
          </cell>
          <cell r="D359">
            <v>100</v>
          </cell>
          <cell r="E359">
            <v>80500000</v>
          </cell>
          <cell r="F359">
            <v>0</v>
          </cell>
          <cell r="G359">
            <v>80500000</v>
          </cell>
          <cell r="H359">
            <v>470914.08</v>
          </cell>
          <cell r="I359">
            <v>116730763.02</v>
          </cell>
        </row>
        <row r="360">
          <cell r="C360">
            <v>229769</v>
          </cell>
          <cell r="D360">
            <v>100</v>
          </cell>
          <cell r="E360">
            <v>229769000</v>
          </cell>
          <cell r="F360">
            <v>0</v>
          </cell>
          <cell r="G360">
            <v>229769000</v>
          </cell>
          <cell r="H360">
            <v>7427687.3799999999</v>
          </cell>
          <cell r="I360">
            <v>304608692</v>
          </cell>
        </row>
        <row r="361">
          <cell r="C361">
            <v>191261</v>
          </cell>
          <cell r="D361">
            <v>100</v>
          </cell>
          <cell r="E361">
            <v>191261000</v>
          </cell>
          <cell r="F361">
            <v>0</v>
          </cell>
          <cell r="G361">
            <v>191261000</v>
          </cell>
          <cell r="H361">
            <v>1256544.1299999999</v>
          </cell>
          <cell r="I361">
            <v>252677585.22</v>
          </cell>
        </row>
        <row r="362">
          <cell r="C362">
            <v>2556550</v>
          </cell>
          <cell r="D362">
            <v>100</v>
          </cell>
          <cell r="E362">
            <v>1278275000</v>
          </cell>
          <cell r="F362">
            <v>0</v>
          </cell>
          <cell r="G362">
            <v>1278275000</v>
          </cell>
          <cell r="H362">
            <v>11098829.140000001</v>
          </cell>
          <cell r="I362">
            <v>1653805497.1400001</v>
          </cell>
        </row>
        <row r="363">
          <cell r="C363">
            <v>6600</v>
          </cell>
          <cell r="D363">
            <v>100</v>
          </cell>
          <cell r="E363">
            <v>3300000</v>
          </cell>
          <cell r="F363">
            <v>0</v>
          </cell>
          <cell r="G363">
            <v>3300000</v>
          </cell>
          <cell r="H363">
            <v>211558.55</v>
          </cell>
          <cell r="I363">
            <v>5213208.5</v>
          </cell>
        </row>
        <row r="364">
          <cell r="C364">
            <v>3650</v>
          </cell>
          <cell r="D364">
            <v>100</v>
          </cell>
          <cell r="E364">
            <v>3650000</v>
          </cell>
          <cell r="F364">
            <v>0</v>
          </cell>
          <cell r="G364">
            <v>3650000</v>
          </cell>
          <cell r="H364">
            <v>266943</v>
          </cell>
          <cell r="I364">
            <v>21717749.379999999</v>
          </cell>
        </row>
        <row r="365">
          <cell r="C365">
            <v>24520</v>
          </cell>
          <cell r="D365">
            <v>100</v>
          </cell>
          <cell r="E365">
            <v>24520000</v>
          </cell>
          <cell r="F365">
            <v>0</v>
          </cell>
          <cell r="G365">
            <v>24520000</v>
          </cell>
          <cell r="H365">
            <v>-3585186.34</v>
          </cell>
          <cell r="I365">
            <v>42196339.560000002</v>
          </cell>
        </row>
        <row r="366">
          <cell r="C366">
            <v>63465</v>
          </cell>
          <cell r="D366">
            <v>100</v>
          </cell>
          <cell r="E366">
            <v>63465000</v>
          </cell>
          <cell r="F366">
            <v>0</v>
          </cell>
          <cell r="G366">
            <v>63465000</v>
          </cell>
          <cell r="H366">
            <v>1430922.29</v>
          </cell>
          <cell r="I366">
            <v>65769251.950000003</v>
          </cell>
        </row>
        <row r="367">
          <cell r="C367">
            <v>22505</v>
          </cell>
          <cell r="D367">
            <v>100</v>
          </cell>
          <cell r="E367">
            <v>22505000</v>
          </cell>
          <cell r="F367">
            <v>0</v>
          </cell>
          <cell r="G367">
            <v>22505000</v>
          </cell>
          <cell r="H367">
            <v>-10126264.16</v>
          </cell>
          <cell r="I367">
            <v>24757706.969999999</v>
          </cell>
        </row>
        <row r="368">
          <cell r="C368">
            <v>33422</v>
          </cell>
          <cell r="D368">
            <v>100</v>
          </cell>
          <cell r="E368">
            <v>33422000</v>
          </cell>
          <cell r="F368">
            <v>33053845.52</v>
          </cell>
          <cell r="G368">
            <v>368154.48</v>
          </cell>
          <cell r="H368">
            <v>-43005287.789999999</v>
          </cell>
          <cell r="I368">
            <v>368154.48</v>
          </cell>
        </row>
        <row r="369">
          <cell r="C369">
            <v>20111</v>
          </cell>
          <cell r="D369">
            <v>100</v>
          </cell>
          <cell r="E369">
            <v>20111000</v>
          </cell>
          <cell r="F369">
            <v>984868.06</v>
          </cell>
          <cell r="G369">
            <v>19126131.940000001</v>
          </cell>
          <cell r="H369">
            <v>20670.02</v>
          </cell>
          <cell r="I369">
            <v>19126131.940000001</v>
          </cell>
        </row>
        <row r="370">
          <cell r="C370">
            <v>100</v>
          </cell>
          <cell r="D370">
            <v>100</v>
          </cell>
          <cell r="E370">
            <v>50000</v>
          </cell>
          <cell r="F370">
            <v>50000</v>
          </cell>
          <cell r="G370">
            <v>0</v>
          </cell>
        </row>
        <row r="371">
          <cell r="C371">
            <v>16000</v>
          </cell>
          <cell r="D371">
            <v>40.22</v>
          </cell>
          <cell r="E371">
            <v>16000000</v>
          </cell>
          <cell r="F371">
            <v>7930122.0700000003</v>
          </cell>
          <cell r="G371">
            <v>8069877.9299999997</v>
          </cell>
          <cell r="H371">
            <v>-356234.76</v>
          </cell>
          <cell r="I371">
            <v>20065247.109999999</v>
          </cell>
        </row>
        <row r="372">
          <cell r="C372">
            <v>2795</v>
          </cell>
          <cell r="D372">
            <v>0</v>
          </cell>
          <cell r="E372">
            <v>120241.86</v>
          </cell>
          <cell r="F372">
            <v>-84682.79</v>
          </cell>
          <cell r="G372">
            <v>204924.65</v>
          </cell>
        </row>
        <row r="373">
          <cell r="C373">
            <v>4600</v>
          </cell>
          <cell r="D373">
            <v>100</v>
          </cell>
          <cell r="E373">
            <v>2300000</v>
          </cell>
          <cell r="F373">
            <v>0</v>
          </cell>
          <cell r="G373">
            <v>2300000</v>
          </cell>
          <cell r="H373">
            <v>-1544700.43</v>
          </cell>
          <cell r="I373">
            <v>3646619.32</v>
          </cell>
        </row>
        <row r="374">
          <cell r="C374">
            <v>19375</v>
          </cell>
          <cell r="D374">
            <v>100</v>
          </cell>
          <cell r="E374">
            <v>19375000</v>
          </cell>
          <cell r="F374">
            <v>13214418.199999999</v>
          </cell>
          <cell r="G374">
            <v>6160581.7999999998</v>
          </cell>
          <cell r="H374">
            <v>-14992389.09</v>
          </cell>
          <cell r="I374">
            <v>6160581.7999999998</v>
          </cell>
        </row>
        <row r="375">
          <cell r="C375">
            <v>3100</v>
          </cell>
          <cell r="D375">
            <v>100</v>
          </cell>
          <cell r="E375">
            <v>3100000</v>
          </cell>
          <cell r="F375">
            <v>0</v>
          </cell>
          <cell r="G375">
            <v>3100000</v>
          </cell>
          <cell r="H375">
            <v>3367234.77</v>
          </cell>
          <cell r="I375">
            <v>17848776.059999999</v>
          </cell>
        </row>
        <row r="376">
          <cell r="C376">
            <v>21801</v>
          </cell>
          <cell r="D376">
            <v>100</v>
          </cell>
          <cell r="E376">
            <v>21801000</v>
          </cell>
          <cell r="F376">
            <v>85091.02</v>
          </cell>
          <cell r="G376">
            <v>21715908.98</v>
          </cell>
          <cell r="H376">
            <v>-21113678.890000001</v>
          </cell>
          <cell r="I376">
            <v>21715908.98</v>
          </cell>
        </row>
        <row r="379">
          <cell r="C379">
            <v>10406</v>
          </cell>
          <cell r="D379">
            <v>100</v>
          </cell>
          <cell r="E379">
            <v>520300</v>
          </cell>
          <cell r="F379">
            <v>0</v>
          </cell>
          <cell r="G379">
            <v>520300</v>
          </cell>
          <cell r="H379">
            <v>-185696.53</v>
          </cell>
          <cell r="I379">
            <v>1768619.44</v>
          </cell>
        </row>
        <row r="380">
          <cell r="C380">
            <v>657835</v>
          </cell>
          <cell r="D380">
            <v>100</v>
          </cell>
          <cell r="E380">
            <v>328917500</v>
          </cell>
          <cell r="F380">
            <v>0</v>
          </cell>
          <cell r="G380">
            <v>328917500</v>
          </cell>
          <cell r="H380">
            <v>4521856.08</v>
          </cell>
          <cell r="I380">
            <v>660288957.07000005</v>
          </cell>
        </row>
        <row r="381">
          <cell r="C381">
            <v>585616</v>
          </cell>
          <cell r="D381">
            <v>100</v>
          </cell>
          <cell r="E381">
            <v>292808000</v>
          </cell>
          <cell r="F381">
            <v>0</v>
          </cell>
          <cell r="G381">
            <v>292808000</v>
          </cell>
          <cell r="H381">
            <v>5423723.7000000002</v>
          </cell>
          <cell r="I381">
            <v>660192978.23000002</v>
          </cell>
        </row>
        <row r="382">
          <cell r="C382">
            <v>461782</v>
          </cell>
          <cell r="D382">
            <v>100</v>
          </cell>
          <cell r="E382">
            <v>230891000</v>
          </cell>
          <cell r="F382">
            <v>0</v>
          </cell>
          <cell r="G382">
            <v>230891000</v>
          </cell>
          <cell r="H382">
            <v>19294342.690000001</v>
          </cell>
          <cell r="I382">
            <v>331781440.91000003</v>
          </cell>
        </row>
        <row r="384">
          <cell r="C384">
            <v>27345751</v>
          </cell>
          <cell r="D384">
            <v>100</v>
          </cell>
          <cell r="E384">
            <v>2734575100</v>
          </cell>
          <cell r="F384">
            <v>0</v>
          </cell>
          <cell r="G384">
            <v>2734575100</v>
          </cell>
          <cell r="H384">
            <v>-39253709.280000001</v>
          </cell>
          <cell r="I384">
            <v>4621148660.8500004</v>
          </cell>
        </row>
        <row r="385">
          <cell r="C385">
            <v>1133516</v>
          </cell>
          <cell r="D385">
            <v>100</v>
          </cell>
          <cell r="E385">
            <v>566758000</v>
          </cell>
          <cell r="F385">
            <v>0</v>
          </cell>
          <cell r="G385">
            <v>566758000</v>
          </cell>
          <cell r="H385">
            <v>472518.45</v>
          </cell>
          <cell r="I385">
            <v>759969643.76999998</v>
          </cell>
        </row>
        <row r="386">
          <cell r="C386">
            <v>10000</v>
          </cell>
          <cell r="D386">
            <v>100</v>
          </cell>
          <cell r="E386">
            <v>5000000</v>
          </cell>
          <cell r="F386">
            <v>0</v>
          </cell>
          <cell r="G386">
            <v>5000000</v>
          </cell>
          <cell r="H386">
            <v>2586884.37</v>
          </cell>
          <cell r="I386">
            <v>23174200.32</v>
          </cell>
        </row>
        <row r="387">
          <cell r="C387">
            <v>24601</v>
          </cell>
          <cell r="D387">
            <v>100</v>
          </cell>
          <cell r="E387">
            <v>1230050</v>
          </cell>
          <cell r="F387">
            <v>0</v>
          </cell>
          <cell r="G387">
            <v>1230050</v>
          </cell>
          <cell r="H387">
            <v>208962.78</v>
          </cell>
          <cell r="I387">
            <v>7203224.75</v>
          </cell>
        </row>
        <row r="388">
          <cell r="C388">
            <v>80500</v>
          </cell>
          <cell r="D388">
            <v>100</v>
          </cell>
          <cell r="E388">
            <v>80500000</v>
          </cell>
          <cell r="F388">
            <v>0</v>
          </cell>
          <cell r="G388">
            <v>80500000</v>
          </cell>
          <cell r="H388">
            <v>1966.05</v>
          </cell>
          <cell r="I388">
            <v>116259848.94</v>
          </cell>
        </row>
        <row r="389">
          <cell r="C389">
            <v>168433</v>
          </cell>
          <cell r="D389">
            <v>100</v>
          </cell>
          <cell r="E389">
            <v>168433000</v>
          </cell>
          <cell r="F389">
            <v>0</v>
          </cell>
          <cell r="G389">
            <v>168433000</v>
          </cell>
          <cell r="H389">
            <v>5163480.1399999997</v>
          </cell>
          <cell r="I389">
            <v>235845004.62</v>
          </cell>
        </row>
        <row r="390">
          <cell r="C390">
            <v>177563</v>
          </cell>
          <cell r="D390">
            <v>100</v>
          </cell>
          <cell r="E390">
            <v>177563000</v>
          </cell>
          <cell r="F390">
            <v>0</v>
          </cell>
          <cell r="G390">
            <v>177563000</v>
          </cell>
          <cell r="H390">
            <v>3391426.87</v>
          </cell>
          <cell r="I390">
            <v>195220041.09</v>
          </cell>
        </row>
        <row r="391">
          <cell r="C391">
            <v>1626550</v>
          </cell>
          <cell r="D391">
            <v>100</v>
          </cell>
          <cell r="E391">
            <v>813275000</v>
          </cell>
          <cell r="F391">
            <v>0</v>
          </cell>
          <cell r="G391">
            <v>813275000</v>
          </cell>
          <cell r="H391">
            <v>-6465494.1100000003</v>
          </cell>
          <cell r="I391">
            <v>1146706668</v>
          </cell>
        </row>
        <row r="392">
          <cell r="C392">
            <v>6600</v>
          </cell>
          <cell r="D392">
            <v>100</v>
          </cell>
          <cell r="E392">
            <v>3300000</v>
          </cell>
          <cell r="F392">
            <v>0</v>
          </cell>
          <cell r="G392">
            <v>3300000</v>
          </cell>
          <cell r="H392">
            <v>137826.84</v>
          </cell>
          <cell r="I392">
            <v>5001649.95</v>
          </cell>
        </row>
        <row r="393">
          <cell r="C393">
            <v>1000</v>
          </cell>
          <cell r="D393">
            <v>100</v>
          </cell>
          <cell r="E393">
            <v>1000000</v>
          </cell>
          <cell r="F393">
            <v>0</v>
          </cell>
          <cell r="G393">
            <v>1000000</v>
          </cell>
          <cell r="H393">
            <v>229274.57</v>
          </cell>
          <cell r="I393">
            <v>18800806.379999999</v>
          </cell>
        </row>
        <row r="394">
          <cell r="C394">
            <v>23964</v>
          </cell>
          <cell r="D394">
            <v>100</v>
          </cell>
          <cell r="E394">
            <v>23964000</v>
          </cell>
          <cell r="F394">
            <v>0</v>
          </cell>
          <cell r="G394">
            <v>23964000</v>
          </cell>
          <cell r="H394">
            <v>1548507.11</v>
          </cell>
          <cell r="I394">
            <v>31548525.899999999</v>
          </cell>
        </row>
        <row r="395">
          <cell r="C395">
            <v>63465</v>
          </cell>
          <cell r="D395">
            <v>100</v>
          </cell>
          <cell r="E395">
            <v>63465000</v>
          </cell>
          <cell r="F395">
            <v>0</v>
          </cell>
          <cell r="G395">
            <v>63465000</v>
          </cell>
          <cell r="H395">
            <v>520902.96</v>
          </cell>
          <cell r="I395">
            <v>64338329.659999996</v>
          </cell>
        </row>
        <row r="396">
          <cell r="C396">
            <v>19400</v>
          </cell>
          <cell r="D396">
            <v>100</v>
          </cell>
          <cell r="E396">
            <v>19400000</v>
          </cell>
          <cell r="F396">
            <v>0</v>
          </cell>
          <cell r="G396">
            <v>19400000</v>
          </cell>
          <cell r="H396">
            <v>-5192081.05</v>
          </cell>
          <cell r="I396">
            <v>23037599.57</v>
          </cell>
        </row>
        <row r="397">
          <cell r="C397">
            <v>100</v>
          </cell>
          <cell r="D397">
            <v>100</v>
          </cell>
          <cell r="E397">
            <v>100000</v>
          </cell>
          <cell r="F397">
            <v>0</v>
          </cell>
          <cell r="G397">
            <v>100000</v>
          </cell>
          <cell r="H397">
            <v>3565475.97</v>
          </cell>
          <cell r="I397">
            <v>11481541.289999999</v>
          </cell>
        </row>
        <row r="398">
          <cell r="C398">
            <v>100</v>
          </cell>
          <cell r="D398">
            <v>100</v>
          </cell>
          <cell r="E398">
            <v>100000</v>
          </cell>
          <cell r="F398">
            <v>0</v>
          </cell>
          <cell r="G398">
            <v>100000</v>
          </cell>
          <cell r="H398">
            <v>-13196483.33</v>
          </cell>
          <cell r="I398">
            <v>-8091580.2599999998</v>
          </cell>
        </row>
        <row r="399">
          <cell r="C399">
            <v>33402</v>
          </cell>
          <cell r="D399">
            <v>100</v>
          </cell>
          <cell r="E399">
            <v>33402000</v>
          </cell>
          <cell r="F399">
            <v>30628557.73</v>
          </cell>
          <cell r="G399">
            <v>2773442.27</v>
          </cell>
          <cell r="H399">
            <v>-41002343.259999998</v>
          </cell>
          <cell r="I399">
            <v>2773442.27</v>
          </cell>
        </row>
        <row r="400">
          <cell r="C400">
            <v>20111</v>
          </cell>
          <cell r="D400">
            <v>100</v>
          </cell>
          <cell r="E400">
            <v>20111000</v>
          </cell>
          <cell r="F400">
            <v>1005538.08</v>
          </cell>
          <cell r="G400">
            <v>19105461.920000002</v>
          </cell>
          <cell r="H400">
            <v>-7010.45</v>
          </cell>
          <cell r="I400">
            <v>19105461.920000002</v>
          </cell>
        </row>
        <row r="401">
          <cell r="C401">
            <v>100</v>
          </cell>
          <cell r="D401">
            <v>100</v>
          </cell>
          <cell r="E401">
            <v>50000</v>
          </cell>
          <cell r="F401">
            <v>50000</v>
          </cell>
          <cell r="G401">
            <v>0</v>
          </cell>
        </row>
        <row r="402">
          <cell r="C402">
            <v>16000</v>
          </cell>
          <cell r="D402">
            <v>40.22</v>
          </cell>
          <cell r="E402">
            <v>16000000</v>
          </cell>
          <cell r="F402">
            <v>7786850.9199999999</v>
          </cell>
          <cell r="G402">
            <v>8213149.0800000001</v>
          </cell>
          <cell r="H402">
            <v>-1748026.29</v>
          </cell>
          <cell r="I402">
            <v>20421481.870000001</v>
          </cell>
        </row>
        <row r="403">
          <cell r="C403">
            <v>2795</v>
          </cell>
          <cell r="D403">
            <v>0</v>
          </cell>
          <cell r="E403">
            <v>120241.86</v>
          </cell>
          <cell r="F403">
            <v>-79797.11</v>
          </cell>
          <cell r="G403">
            <v>200038.97</v>
          </cell>
        </row>
        <row r="404">
          <cell r="C404">
            <v>4600</v>
          </cell>
          <cell r="D404">
            <v>100</v>
          </cell>
          <cell r="E404">
            <v>2300000</v>
          </cell>
          <cell r="F404">
            <v>0</v>
          </cell>
          <cell r="G404">
            <v>2300000</v>
          </cell>
          <cell r="H404">
            <v>-410481.88</v>
          </cell>
          <cell r="I404">
            <v>5191319.75</v>
          </cell>
        </row>
        <row r="405">
          <cell r="C405">
            <v>19365</v>
          </cell>
          <cell r="D405">
            <v>100</v>
          </cell>
          <cell r="E405">
            <v>19365000</v>
          </cell>
          <cell r="F405">
            <v>6612029.1100000003</v>
          </cell>
          <cell r="G405">
            <v>12752970.890000001</v>
          </cell>
          <cell r="H405">
            <v>-15969826.16</v>
          </cell>
          <cell r="I405">
            <v>12752970.890000001</v>
          </cell>
        </row>
      </sheetData>
      <sheetData sheetId="20"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C51">
            <v>1514717806.49</v>
          </cell>
          <cell r="D51">
            <v>1141117490.1199999</v>
          </cell>
          <cell r="E51">
            <v>25449505.609999999</v>
          </cell>
          <cell r="F51">
            <v>828497808.02999997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C53">
            <v>489163703.27999997</v>
          </cell>
          <cell r="D53">
            <v>465944281.02999997</v>
          </cell>
          <cell r="E53">
            <v>1414824.12</v>
          </cell>
          <cell r="F53">
            <v>427913078.23000002</v>
          </cell>
        </row>
      </sheetData>
      <sheetData sheetId="21"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</row>
        <row r="92">
          <cell r="C92">
            <v>0</v>
          </cell>
          <cell r="D92">
            <v>0</v>
          </cell>
          <cell r="E92">
            <v>0</v>
          </cell>
          <cell r="F92">
            <v>0</v>
          </cell>
        </row>
        <row r="93">
          <cell r="C93">
            <v>197863358.46000001</v>
          </cell>
          <cell r="D93">
            <v>9289432.1799999997</v>
          </cell>
          <cell r="E93">
            <v>5071559</v>
          </cell>
          <cell r="F93">
            <v>2892272.08</v>
          </cell>
        </row>
        <row r="94">
          <cell r="C94">
            <v>1757057</v>
          </cell>
          <cell r="D94">
            <v>0</v>
          </cell>
          <cell r="E94">
            <v>0</v>
          </cell>
          <cell r="F94">
            <v>160000</v>
          </cell>
        </row>
        <row r="95">
          <cell r="C95">
            <v>27579103.190000001</v>
          </cell>
          <cell r="D95">
            <v>16639693.890000001</v>
          </cell>
          <cell r="E95">
            <v>0</v>
          </cell>
          <cell r="F95">
            <v>0</v>
          </cell>
        </row>
        <row r="96">
          <cell r="C96">
            <v>413653610.44999999</v>
          </cell>
          <cell r="D96">
            <v>151000114.31</v>
          </cell>
          <cell r="E96">
            <v>0</v>
          </cell>
          <cell r="F96">
            <v>70017246.370000005</v>
          </cell>
        </row>
        <row r="97">
          <cell r="C97">
            <v>17112243.780000001</v>
          </cell>
          <cell r="D97">
            <v>7813879.5199999996</v>
          </cell>
          <cell r="E97">
            <v>5148098.1500000004</v>
          </cell>
          <cell r="F97">
            <v>561849.01</v>
          </cell>
        </row>
        <row r="98">
          <cell r="C98">
            <v>696906</v>
          </cell>
          <cell r="D98">
            <v>202155</v>
          </cell>
          <cell r="E98">
            <v>0</v>
          </cell>
          <cell r="F98">
            <v>0</v>
          </cell>
        </row>
        <row r="99">
          <cell r="C99">
            <v>146786448.84999999</v>
          </cell>
          <cell r="D99">
            <v>13814766.24</v>
          </cell>
          <cell r="E99">
            <v>68841.06</v>
          </cell>
          <cell r="F99">
            <v>3448993.1</v>
          </cell>
        </row>
        <row r="100">
          <cell r="C100">
            <v>777038237.29999995</v>
          </cell>
          <cell r="D100">
            <v>259439915.63999999</v>
          </cell>
          <cell r="E100">
            <v>2490303.87</v>
          </cell>
          <cell r="F100">
            <v>117444757.45999999</v>
          </cell>
        </row>
      </sheetData>
      <sheetData sheetId="22"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0">
          <cell r="B50">
            <v>0</v>
          </cell>
          <cell r="C50">
            <v>0</v>
          </cell>
        </row>
        <row r="52">
          <cell r="B52">
            <v>18098.560000000056</v>
          </cell>
          <cell r="C52">
            <v>15666.239999999991</v>
          </cell>
        </row>
        <row r="53">
          <cell r="B53">
            <v>116105.89</v>
          </cell>
          <cell r="C53">
            <v>114738.13</v>
          </cell>
        </row>
        <row r="54">
          <cell r="B54">
            <v>118386.75</v>
          </cell>
          <cell r="C54">
            <v>112817.85</v>
          </cell>
        </row>
        <row r="56">
          <cell r="B56">
            <v>64319.199999999997</v>
          </cell>
          <cell r="C56">
            <v>55821.74</v>
          </cell>
        </row>
        <row r="57">
          <cell r="B57">
            <v>46708.19</v>
          </cell>
          <cell r="C57">
            <v>42025.58</v>
          </cell>
        </row>
        <row r="58">
          <cell r="B58">
            <v>256264.23</v>
          </cell>
          <cell r="C58">
            <v>215063.38</v>
          </cell>
        </row>
      </sheetData>
      <sheetData sheetId="23" refreshError="1"/>
      <sheetData sheetId="24" refreshError="1"/>
      <sheetData sheetId="25">
        <row r="44">
          <cell r="B44">
            <v>30968397.510000002</v>
          </cell>
          <cell r="C44">
            <v>9459459.4000000004</v>
          </cell>
        </row>
        <row r="45">
          <cell r="B45">
            <v>0</v>
          </cell>
          <cell r="C45">
            <v>0</v>
          </cell>
        </row>
        <row r="46">
          <cell r="B46">
            <v>0</v>
          </cell>
          <cell r="C46">
            <v>0</v>
          </cell>
        </row>
        <row r="47">
          <cell r="B47">
            <v>0</v>
          </cell>
          <cell r="C47">
            <v>0</v>
          </cell>
        </row>
        <row r="48">
          <cell r="B48">
            <v>0</v>
          </cell>
          <cell r="C48">
            <v>0</v>
          </cell>
        </row>
        <row r="49">
          <cell r="B49">
            <v>0</v>
          </cell>
          <cell r="C49">
            <v>0</v>
          </cell>
        </row>
        <row r="50">
          <cell r="B50">
            <v>0</v>
          </cell>
          <cell r="C50">
            <v>0</v>
          </cell>
        </row>
        <row r="51">
          <cell r="B51">
            <v>0</v>
          </cell>
          <cell r="C51">
            <v>0</v>
          </cell>
        </row>
        <row r="52">
          <cell r="B52">
            <v>0</v>
          </cell>
          <cell r="C52">
            <v>0</v>
          </cell>
        </row>
      </sheetData>
      <sheetData sheetId="26">
        <row r="47">
          <cell r="C47">
            <v>0</v>
          </cell>
          <cell r="D47">
            <v>0</v>
          </cell>
        </row>
        <row r="98">
          <cell r="C98">
            <v>33090</v>
          </cell>
          <cell r="D98">
            <v>23090</v>
          </cell>
        </row>
        <row r="99">
          <cell r="C99">
            <v>0</v>
          </cell>
          <cell r="D99">
            <v>0</v>
          </cell>
        </row>
        <row r="100">
          <cell r="C100">
            <v>2861001820</v>
          </cell>
          <cell r="D100">
            <v>2861001820</v>
          </cell>
        </row>
        <row r="101">
          <cell r="C101">
            <v>6072334</v>
          </cell>
          <cell r="D101">
            <v>6072334</v>
          </cell>
        </row>
        <row r="102">
          <cell r="C102">
            <v>0</v>
          </cell>
          <cell r="D102">
            <v>0</v>
          </cell>
        </row>
        <row r="103">
          <cell r="C103">
            <v>0</v>
          </cell>
          <cell r="D103">
            <v>0</v>
          </cell>
        </row>
        <row r="104">
          <cell r="C104">
            <v>3840129</v>
          </cell>
          <cell r="D104">
            <v>4530310</v>
          </cell>
        </row>
        <row r="105">
          <cell r="C105">
            <v>321437890.36000001</v>
          </cell>
          <cell r="D105">
            <v>195096126.97</v>
          </cell>
        </row>
        <row r="106">
          <cell r="C106">
            <v>7303279.5800000001</v>
          </cell>
          <cell r="D106">
            <v>9694404.5500000007</v>
          </cell>
        </row>
        <row r="137">
          <cell r="E137">
            <v>7303279.5800000001</v>
          </cell>
          <cell r="F137">
            <v>9694404.5500000007</v>
          </cell>
        </row>
      </sheetData>
      <sheetData sheetId="27">
        <row r="43">
          <cell r="B43">
            <v>0</v>
          </cell>
          <cell r="C43">
            <v>0</v>
          </cell>
        </row>
        <row r="45">
          <cell r="B45">
            <v>0</v>
          </cell>
          <cell r="C45">
            <v>0</v>
          </cell>
        </row>
        <row r="49">
          <cell r="B49">
            <v>0</v>
          </cell>
          <cell r="C49">
            <v>0</v>
          </cell>
        </row>
        <row r="50">
          <cell r="B50">
            <v>0</v>
          </cell>
          <cell r="C50">
            <v>0</v>
          </cell>
        </row>
        <row r="73">
          <cell r="B73">
            <v>0</v>
          </cell>
          <cell r="C73">
            <v>0</v>
          </cell>
        </row>
        <row r="75">
          <cell r="B75">
            <v>98842.91</v>
          </cell>
          <cell r="C75">
            <v>77432.509999999995</v>
          </cell>
        </row>
        <row r="77">
          <cell r="B77">
            <v>4679689.96</v>
          </cell>
          <cell r="C77">
            <v>2027280.09</v>
          </cell>
        </row>
        <row r="78">
          <cell r="B78">
            <v>15.37</v>
          </cell>
          <cell r="C78">
            <v>0</v>
          </cell>
        </row>
        <row r="79">
          <cell r="B79">
            <v>0</v>
          </cell>
          <cell r="C79">
            <v>0</v>
          </cell>
        </row>
        <row r="82">
          <cell r="B82">
            <v>524724.02</v>
          </cell>
          <cell r="C82">
            <v>1908864.42</v>
          </cell>
        </row>
        <row r="84">
          <cell r="B84">
            <v>0</v>
          </cell>
          <cell r="C84">
            <v>0</v>
          </cell>
        </row>
        <row r="85">
          <cell r="B85">
            <v>2759468.31</v>
          </cell>
          <cell r="C85">
            <v>2019419.62</v>
          </cell>
        </row>
        <row r="86">
          <cell r="B86">
            <v>23044.74</v>
          </cell>
          <cell r="C86">
            <v>21539.15</v>
          </cell>
        </row>
        <row r="87">
          <cell r="B87">
            <v>0</v>
          </cell>
          <cell r="C87">
            <v>0</v>
          </cell>
        </row>
        <row r="88">
          <cell r="B88">
            <v>30745448.239999998</v>
          </cell>
          <cell r="C88">
            <v>35563439.520000003</v>
          </cell>
        </row>
        <row r="89">
          <cell r="B89">
            <v>30947.09</v>
          </cell>
          <cell r="C89">
            <v>32286.62</v>
          </cell>
        </row>
        <row r="90">
          <cell r="B90">
            <v>12343203.939999999</v>
          </cell>
          <cell r="C90">
            <v>36755.06</v>
          </cell>
        </row>
        <row r="91">
          <cell r="B91">
            <v>107069.16</v>
          </cell>
          <cell r="C91">
            <v>146843.37</v>
          </cell>
        </row>
        <row r="92">
          <cell r="B92">
            <v>0</v>
          </cell>
          <cell r="C92">
            <v>0</v>
          </cell>
        </row>
        <row r="93">
          <cell r="B93">
            <v>1145236.3799999999</v>
          </cell>
          <cell r="C93">
            <v>1740598.75</v>
          </cell>
        </row>
      </sheetData>
      <sheetData sheetId="28">
        <row r="70">
          <cell r="B70">
            <v>0</v>
          </cell>
          <cell r="C70">
            <v>0</v>
          </cell>
        </row>
        <row r="71">
          <cell r="B71">
            <v>0</v>
          </cell>
          <cell r="C71">
            <v>0</v>
          </cell>
        </row>
        <row r="72">
          <cell r="B72">
            <v>0</v>
          </cell>
          <cell r="C72">
            <v>0</v>
          </cell>
        </row>
        <row r="73">
          <cell r="B73">
            <v>0</v>
          </cell>
          <cell r="C73">
            <v>0</v>
          </cell>
        </row>
        <row r="89">
          <cell r="B89">
            <v>112413297.87</v>
          </cell>
          <cell r="C89">
            <v>117324055.54000001</v>
          </cell>
        </row>
        <row r="90">
          <cell r="B90">
            <v>486237.4</v>
          </cell>
          <cell r="C90">
            <v>429033</v>
          </cell>
        </row>
        <row r="91">
          <cell r="B91">
            <v>7377355.1100000003</v>
          </cell>
          <cell r="C91">
            <v>6847728.7699999996</v>
          </cell>
        </row>
        <row r="92">
          <cell r="B92">
            <v>342612.88</v>
          </cell>
          <cell r="C92">
            <v>80509.17</v>
          </cell>
        </row>
        <row r="93">
          <cell r="B93">
            <v>0</v>
          </cell>
          <cell r="C93">
            <v>0</v>
          </cell>
        </row>
        <row r="94">
          <cell r="B94">
            <v>0</v>
          </cell>
          <cell r="C94">
            <v>0</v>
          </cell>
        </row>
        <row r="95">
          <cell r="B95">
            <v>20198321.129999999</v>
          </cell>
          <cell r="C95">
            <v>27614414.039999999</v>
          </cell>
        </row>
        <row r="96">
          <cell r="B96">
            <v>0</v>
          </cell>
          <cell r="C96">
            <v>0</v>
          </cell>
        </row>
      </sheetData>
      <sheetData sheetId="29">
        <row r="32">
          <cell r="C32">
            <v>262685156.75999999</v>
          </cell>
          <cell r="D32">
            <v>291785427.11000001</v>
          </cell>
        </row>
      </sheetData>
      <sheetData sheetId="30">
        <row r="26">
          <cell r="C26">
            <v>22842092.629999999</v>
          </cell>
          <cell r="D26">
            <v>29688470.690000001</v>
          </cell>
        </row>
      </sheetData>
      <sheetData sheetId="31">
        <row r="62">
          <cell r="B62">
            <v>5603148191.8599997</v>
          </cell>
          <cell r="C62">
            <v>0</v>
          </cell>
          <cell r="D62">
            <v>0</v>
          </cell>
          <cell r="E62">
            <v>67137432.420000002</v>
          </cell>
          <cell r="F62">
            <v>0</v>
          </cell>
          <cell r="G62">
            <v>0</v>
          </cell>
          <cell r="H62">
            <v>0</v>
          </cell>
        </row>
        <row r="64">
          <cell r="B64">
            <v>693995500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70">
          <cell r="B70">
            <v>172941000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6">
          <cell r="B76">
            <v>46003178.729999997</v>
          </cell>
          <cell r="C76">
            <v>0</v>
          </cell>
          <cell r="D76">
            <v>0</v>
          </cell>
          <cell r="E76">
            <v>48721994.420000002</v>
          </cell>
          <cell r="F76">
            <v>0</v>
          </cell>
          <cell r="G76">
            <v>0</v>
          </cell>
          <cell r="H76">
            <v>0</v>
          </cell>
        </row>
        <row r="77">
          <cell r="B77">
            <v>21511202.91</v>
          </cell>
          <cell r="C77">
            <v>0</v>
          </cell>
          <cell r="D77">
            <v>0</v>
          </cell>
          <cell r="E77">
            <v>2959968.37</v>
          </cell>
          <cell r="F77">
            <v>0</v>
          </cell>
          <cell r="G77">
            <v>0</v>
          </cell>
          <cell r="H77">
            <v>0</v>
          </cell>
        </row>
        <row r="78">
          <cell r="B78">
            <v>12280719.560000001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</sheetData>
      <sheetData sheetId="32">
        <row r="63">
          <cell r="B63">
            <v>6267281.1900000004</v>
          </cell>
          <cell r="C63">
            <v>6486580.5300000003</v>
          </cell>
        </row>
        <row r="64">
          <cell r="B64">
            <v>29345836.539999999</v>
          </cell>
          <cell r="C64">
            <v>62483697.159999996</v>
          </cell>
        </row>
        <row r="65">
          <cell r="B65">
            <v>129.99</v>
          </cell>
          <cell r="C65">
            <v>202.27</v>
          </cell>
        </row>
        <row r="68">
          <cell r="B68">
            <v>224057273.36000001</v>
          </cell>
          <cell r="C68">
            <v>609039321.52999997</v>
          </cell>
        </row>
        <row r="69">
          <cell r="B69">
            <v>219320055.90000001</v>
          </cell>
          <cell r="C69">
            <v>604436285.37</v>
          </cell>
        </row>
        <row r="70">
          <cell r="B70">
            <v>6688000.21</v>
          </cell>
          <cell r="C70">
            <v>6875635.2199999997</v>
          </cell>
        </row>
        <row r="71">
          <cell r="B71">
            <v>190271766.21000001</v>
          </cell>
          <cell r="C71">
            <v>241006511.17000002</v>
          </cell>
        </row>
        <row r="72">
          <cell r="B72">
            <v>22270</v>
          </cell>
          <cell r="C72">
            <v>22270</v>
          </cell>
        </row>
        <row r="73">
          <cell r="B73">
            <v>44008964.049999982</v>
          </cell>
          <cell r="C73">
            <v>98084659.850000009</v>
          </cell>
        </row>
        <row r="74">
          <cell r="B74">
            <v>257.17</v>
          </cell>
          <cell r="C74">
            <v>0</v>
          </cell>
        </row>
      </sheetData>
      <sheetData sheetId="33" refreshError="1"/>
      <sheetData sheetId="34" refreshError="1"/>
      <sheetData sheetId="35">
        <row r="153">
          <cell r="D153">
            <v>0</v>
          </cell>
          <cell r="H153">
            <v>0</v>
          </cell>
        </row>
        <row r="161">
          <cell r="D161">
            <v>2645661</v>
          </cell>
          <cell r="H161">
            <v>231434.79</v>
          </cell>
        </row>
        <row r="163">
          <cell r="D163">
            <v>27226832.629999999</v>
          </cell>
          <cell r="H163">
            <v>7574515.0800000001</v>
          </cell>
        </row>
        <row r="164">
          <cell r="D164">
            <v>528796818.44</v>
          </cell>
          <cell r="H164">
            <v>352504561.51999998</v>
          </cell>
        </row>
        <row r="165">
          <cell r="D165">
            <v>168780.48</v>
          </cell>
          <cell r="H165">
            <v>805138.21</v>
          </cell>
        </row>
        <row r="167">
          <cell r="D167">
            <v>0</v>
          </cell>
          <cell r="H167">
            <v>0</v>
          </cell>
        </row>
        <row r="175">
          <cell r="D175">
            <v>15630312.540000001</v>
          </cell>
          <cell r="H175">
            <v>18715197.719999999</v>
          </cell>
        </row>
        <row r="176">
          <cell r="D176">
            <v>263992886.02999997</v>
          </cell>
          <cell r="H176">
            <v>135876104.63999999</v>
          </cell>
        </row>
        <row r="177">
          <cell r="D177">
            <v>169670.61</v>
          </cell>
          <cell r="H177">
            <v>803755.02</v>
          </cell>
        </row>
      </sheetData>
      <sheetData sheetId="36" refreshError="1"/>
      <sheetData sheetId="37">
        <row r="124">
          <cell r="C124">
            <v>102059969.78</v>
          </cell>
          <cell r="D124">
            <v>116579776.05</v>
          </cell>
        </row>
        <row r="125">
          <cell r="C125">
            <v>247095867.56999999</v>
          </cell>
          <cell r="D125">
            <v>250337338.49000001</v>
          </cell>
        </row>
        <row r="126">
          <cell r="C126">
            <v>18015262.57</v>
          </cell>
          <cell r="D126">
            <v>22631088.600000001</v>
          </cell>
        </row>
        <row r="127">
          <cell r="C127">
            <v>0</v>
          </cell>
          <cell r="D127">
            <v>0</v>
          </cell>
        </row>
        <row r="128">
          <cell r="C128">
            <v>8246039.7800000003</v>
          </cell>
          <cell r="D128">
            <v>7367411.0999999996</v>
          </cell>
        </row>
        <row r="129">
          <cell r="C129">
            <v>0</v>
          </cell>
          <cell r="D129">
            <v>0</v>
          </cell>
        </row>
        <row r="130">
          <cell r="C130">
            <v>2791554.98</v>
          </cell>
          <cell r="D130">
            <v>3183782.65</v>
          </cell>
        </row>
        <row r="131">
          <cell r="C131">
            <v>6928751.6399999997</v>
          </cell>
          <cell r="D131">
            <v>8947472.4600000009</v>
          </cell>
        </row>
        <row r="132">
          <cell r="C132">
            <v>176846.83</v>
          </cell>
          <cell r="D132">
            <v>27303.040000000001</v>
          </cell>
        </row>
        <row r="133">
          <cell r="C133">
            <v>0</v>
          </cell>
          <cell r="D133">
            <v>0</v>
          </cell>
        </row>
        <row r="134">
          <cell r="C134">
            <v>168780.48</v>
          </cell>
          <cell r="D134">
            <v>805138.21</v>
          </cell>
        </row>
        <row r="135">
          <cell r="C135">
            <v>0</v>
          </cell>
          <cell r="D135">
            <v>0</v>
          </cell>
        </row>
        <row r="138">
          <cell r="C138">
            <v>1450852619.6700001</v>
          </cell>
          <cell r="D138">
            <v>1603614910.26</v>
          </cell>
        </row>
        <row r="139">
          <cell r="C139">
            <v>26599480.300000001</v>
          </cell>
          <cell r="D139">
            <v>25073602.600000001</v>
          </cell>
        </row>
        <row r="140">
          <cell r="C140">
            <v>778195497.91999996</v>
          </cell>
          <cell r="D140">
            <v>817996894.76999998</v>
          </cell>
        </row>
        <row r="141">
          <cell r="C141">
            <v>1195648.78</v>
          </cell>
          <cell r="D141">
            <v>1823173</v>
          </cell>
        </row>
        <row r="142">
          <cell r="C142">
            <v>3268</v>
          </cell>
          <cell r="D142">
            <v>3409.8</v>
          </cell>
        </row>
        <row r="143">
          <cell r="C143">
            <v>131020354.26000001</v>
          </cell>
          <cell r="D143">
            <v>138787132.69999999</v>
          </cell>
        </row>
        <row r="144">
          <cell r="C144">
            <v>162572833.16</v>
          </cell>
          <cell r="D144">
            <v>195121671.73000002</v>
          </cell>
        </row>
        <row r="146">
          <cell r="C146">
            <v>6935630340.3900003</v>
          </cell>
          <cell r="D146">
            <v>5798725656</v>
          </cell>
        </row>
        <row r="147">
          <cell r="C147">
            <v>1364739459.79</v>
          </cell>
          <cell r="D147">
            <v>1918039079</v>
          </cell>
        </row>
        <row r="149">
          <cell r="C149">
            <v>2305660862.52</v>
          </cell>
          <cell r="D149">
            <v>1423513309.01</v>
          </cell>
        </row>
        <row r="150">
          <cell r="C150">
            <v>2969424597</v>
          </cell>
          <cell r="D150">
            <v>3707925443.4499998</v>
          </cell>
        </row>
        <row r="152">
          <cell r="C152">
            <v>148552165.63999999</v>
          </cell>
          <cell r="D152">
            <v>136193267.38</v>
          </cell>
        </row>
        <row r="153">
          <cell r="C153">
            <v>130.41999999999999</v>
          </cell>
          <cell r="D153">
            <v>807327.21</v>
          </cell>
        </row>
        <row r="154">
          <cell r="C154">
            <v>0</v>
          </cell>
          <cell r="D154">
            <v>0</v>
          </cell>
        </row>
        <row r="155">
          <cell r="C155">
            <v>0</v>
          </cell>
          <cell r="D155">
            <v>0</v>
          </cell>
        </row>
        <row r="156">
          <cell r="C156">
            <v>17121680.629999999</v>
          </cell>
          <cell r="D156">
            <v>18457502.84</v>
          </cell>
        </row>
        <row r="157">
          <cell r="C157">
            <v>12914606.060000001</v>
          </cell>
          <cell r="D157">
            <v>4873606.43</v>
          </cell>
        </row>
        <row r="158">
          <cell r="C158">
            <v>115664604.47</v>
          </cell>
          <cell r="D158">
            <v>144742952.69999999</v>
          </cell>
        </row>
        <row r="159">
          <cell r="C159">
            <v>61053807.009999998</v>
          </cell>
          <cell r="D159">
            <v>74229939.040000007</v>
          </cell>
        </row>
        <row r="160">
          <cell r="C160">
            <v>49435106.600000001</v>
          </cell>
          <cell r="D160">
            <v>49911192.299999997</v>
          </cell>
        </row>
        <row r="161">
          <cell r="C161">
            <v>21000273.550000001</v>
          </cell>
          <cell r="D161">
            <v>22778856.48</v>
          </cell>
        </row>
        <row r="162">
          <cell r="C162">
            <v>0</v>
          </cell>
          <cell r="D162">
            <v>0</v>
          </cell>
        </row>
        <row r="163">
          <cell r="C163">
            <v>7661317.6100000003</v>
          </cell>
          <cell r="D163">
            <v>8196312.1500000004</v>
          </cell>
        </row>
        <row r="164">
          <cell r="C164">
            <v>1159920868.8999999</v>
          </cell>
          <cell r="D164">
            <v>1178886871.1199999</v>
          </cell>
        </row>
        <row r="165">
          <cell r="C165">
            <v>573832351.86000001</v>
          </cell>
          <cell r="D165">
            <v>801533708.40999997</v>
          </cell>
        </row>
      </sheetData>
      <sheetData sheetId="38">
        <row r="44">
          <cell r="C44">
            <v>111913005.90000001</v>
          </cell>
          <cell r="D44">
            <v>160543178.13</v>
          </cell>
        </row>
        <row r="45">
          <cell r="C45">
            <v>18791256.16</v>
          </cell>
          <cell r="D45">
            <v>17504013.82</v>
          </cell>
        </row>
        <row r="46">
          <cell r="C46">
            <v>846666858.91999996</v>
          </cell>
          <cell r="D46">
            <v>814416213.84000003</v>
          </cell>
        </row>
        <row r="47">
          <cell r="C47">
            <v>6508999.1399999997</v>
          </cell>
          <cell r="D47">
            <v>7231818.8399999999</v>
          </cell>
        </row>
        <row r="48">
          <cell r="C48">
            <v>396901.37</v>
          </cell>
          <cell r="D48">
            <v>737105.48</v>
          </cell>
        </row>
        <row r="49">
          <cell r="C49">
            <v>1984225.82</v>
          </cell>
          <cell r="D49">
            <v>1937765.02</v>
          </cell>
        </row>
        <row r="50">
          <cell r="C50">
            <v>225390.6</v>
          </cell>
          <cell r="D50">
            <v>214360.53</v>
          </cell>
        </row>
        <row r="51">
          <cell r="C51">
            <v>10319648.939999999</v>
          </cell>
          <cell r="D51">
            <v>10622233.57</v>
          </cell>
        </row>
        <row r="52">
          <cell r="C52">
            <v>44057922.119999997</v>
          </cell>
          <cell r="D52">
            <v>51839739.829999998</v>
          </cell>
        </row>
        <row r="53">
          <cell r="C53">
            <v>8394330.1400000006</v>
          </cell>
          <cell r="D53">
            <v>7367050.1399999997</v>
          </cell>
        </row>
      </sheetData>
      <sheetData sheetId="39">
        <row r="77">
          <cell r="D77">
            <v>220807509.83000001</v>
          </cell>
          <cell r="E77">
            <v>330509044.72000003</v>
          </cell>
        </row>
        <row r="78">
          <cell r="D78">
            <v>5738149.75</v>
          </cell>
          <cell r="E78">
            <v>331194.84999999998</v>
          </cell>
        </row>
        <row r="79">
          <cell r="D79">
            <v>81062635.049999997</v>
          </cell>
          <cell r="E79">
            <v>42173147.780000001</v>
          </cell>
        </row>
        <row r="80">
          <cell r="D80">
            <v>684942.08</v>
          </cell>
          <cell r="E80">
            <v>1257024.68</v>
          </cell>
        </row>
        <row r="82">
          <cell r="D82">
            <v>3937955.47</v>
          </cell>
          <cell r="E82">
            <v>1892601.83</v>
          </cell>
        </row>
        <row r="83">
          <cell r="D83">
            <v>0</v>
          </cell>
          <cell r="E83">
            <v>0</v>
          </cell>
        </row>
        <row r="84">
          <cell r="D84">
            <v>58363859.240000002</v>
          </cell>
          <cell r="E84">
            <v>3655829.61</v>
          </cell>
        </row>
        <row r="85">
          <cell r="D85">
            <v>45784.15</v>
          </cell>
          <cell r="E85">
            <v>2631.1</v>
          </cell>
        </row>
        <row r="86">
          <cell r="D86">
            <v>9412079.4499999993</v>
          </cell>
          <cell r="E86">
            <v>2897205.23</v>
          </cell>
        </row>
        <row r="87">
          <cell r="D87">
            <v>218210217.93000001</v>
          </cell>
          <cell r="E87">
            <v>197026079.84999999</v>
          </cell>
        </row>
        <row r="88">
          <cell r="D88">
            <v>106851045.84</v>
          </cell>
          <cell r="E88">
            <v>118253071.84999999</v>
          </cell>
        </row>
        <row r="89">
          <cell r="D89">
            <v>0</v>
          </cell>
          <cell r="E89">
            <v>0</v>
          </cell>
        </row>
        <row r="90">
          <cell r="D90">
            <v>0</v>
          </cell>
          <cell r="E90">
            <v>0</v>
          </cell>
        </row>
        <row r="91">
          <cell r="D91">
            <v>60955423.82</v>
          </cell>
          <cell r="E91">
            <v>100833015.65000001</v>
          </cell>
        </row>
      </sheetData>
      <sheetData sheetId="40">
        <row r="55">
          <cell r="C55">
            <v>0</v>
          </cell>
          <cell r="D55">
            <v>0</v>
          </cell>
        </row>
        <row r="57">
          <cell r="C57">
            <v>2141474.08</v>
          </cell>
          <cell r="D57">
            <v>497096.29</v>
          </cell>
        </row>
        <row r="59">
          <cell r="C59">
            <v>0</v>
          </cell>
          <cell r="D59">
            <v>8610</v>
          </cell>
        </row>
        <row r="60">
          <cell r="C60">
            <v>2982116.94</v>
          </cell>
          <cell r="D60">
            <v>2959968.37</v>
          </cell>
        </row>
        <row r="61">
          <cell r="C61">
            <v>295617462.76999998</v>
          </cell>
          <cell r="D61">
            <v>336963046.22000003</v>
          </cell>
        </row>
        <row r="64">
          <cell r="C64">
            <v>214275208.19</v>
          </cell>
          <cell r="D64">
            <v>257984290.38999999</v>
          </cell>
        </row>
        <row r="65">
          <cell r="C65">
            <v>23632750.629999999</v>
          </cell>
          <cell r="D65">
            <v>13060212.48</v>
          </cell>
        </row>
        <row r="66">
          <cell r="C66">
            <v>0</v>
          </cell>
          <cell r="D66">
            <v>0</v>
          </cell>
        </row>
        <row r="67">
          <cell r="C67">
            <v>82905951.620000005</v>
          </cell>
          <cell r="D67">
            <v>80828940.129999995</v>
          </cell>
        </row>
      </sheetData>
      <sheetData sheetId="41">
        <row r="58">
          <cell r="C58">
            <v>203988.1</v>
          </cell>
          <cell r="D58">
            <v>253758.2</v>
          </cell>
        </row>
        <row r="62">
          <cell r="C62">
            <v>135491492.43000001</v>
          </cell>
          <cell r="D62">
            <v>264803166.22</v>
          </cell>
        </row>
        <row r="63">
          <cell r="C63">
            <v>248459816.53999999</v>
          </cell>
          <cell r="D63">
            <v>256867895.59999999</v>
          </cell>
        </row>
        <row r="65">
          <cell r="C65">
            <v>0</v>
          </cell>
          <cell r="D65">
            <v>0</v>
          </cell>
        </row>
        <row r="66">
          <cell r="C66">
            <v>4622.79</v>
          </cell>
          <cell r="D66">
            <v>7084.26</v>
          </cell>
        </row>
        <row r="67">
          <cell r="C67">
            <v>100216756.63</v>
          </cell>
          <cell r="D67">
            <v>100897293.43000001</v>
          </cell>
        </row>
        <row r="68">
          <cell r="C68">
            <v>9838247.7699999996</v>
          </cell>
          <cell r="D68">
            <v>0</v>
          </cell>
        </row>
        <row r="69">
          <cell r="C69">
            <v>0</v>
          </cell>
          <cell r="D69">
            <v>0</v>
          </cell>
        </row>
        <row r="70">
          <cell r="C70">
            <v>1697271.64</v>
          </cell>
          <cell r="D70">
            <v>2257498.5</v>
          </cell>
        </row>
        <row r="71">
          <cell r="C71">
            <v>38590957.490000002</v>
          </cell>
          <cell r="D71">
            <v>384618.51</v>
          </cell>
        </row>
      </sheetData>
      <sheetData sheetId="42">
        <row r="59">
          <cell r="C59">
            <v>180755820.22999999</v>
          </cell>
          <cell r="D59">
            <v>177459870.08000001</v>
          </cell>
        </row>
        <row r="60">
          <cell r="C60">
            <v>4265747.03</v>
          </cell>
          <cell r="D60">
            <v>2100744.67</v>
          </cell>
        </row>
        <row r="64">
          <cell r="C64">
            <v>56767.99</v>
          </cell>
          <cell r="D64">
            <v>4912.95</v>
          </cell>
        </row>
        <row r="65">
          <cell r="C65">
            <v>0</v>
          </cell>
          <cell r="D65">
            <v>9230483.3499999996</v>
          </cell>
        </row>
        <row r="66">
          <cell r="C66">
            <v>183357390.22999999</v>
          </cell>
          <cell r="D66">
            <v>310494361.07999998</v>
          </cell>
        </row>
        <row r="67">
          <cell r="C67">
            <v>40556798.039999999</v>
          </cell>
          <cell r="D67">
            <v>120608188.15000001</v>
          </cell>
        </row>
        <row r="68">
          <cell r="C68">
            <v>1949046.8</v>
          </cell>
          <cell r="D68">
            <v>430250.08</v>
          </cell>
        </row>
        <row r="69">
          <cell r="C69">
            <v>443095071.10000002</v>
          </cell>
          <cell r="D69">
            <v>535101283.58999997</v>
          </cell>
        </row>
      </sheetData>
      <sheetData sheetId="43" refreshError="1"/>
      <sheetData sheetId="44">
        <row r="11">
          <cell r="D11">
            <v>55050</v>
          </cell>
          <cell r="E11">
            <v>34918</v>
          </cell>
          <cell r="F11">
            <v>1144721.25</v>
          </cell>
        </row>
        <row r="12">
          <cell r="C12">
            <v>174873.4</v>
          </cell>
          <cell r="D12">
            <v>526106.77</v>
          </cell>
          <cell r="F12">
            <v>7005517.8099999996</v>
          </cell>
        </row>
        <row r="13">
          <cell r="C13">
            <v>0</v>
          </cell>
          <cell r="E13">
            <v>1562179.22</v>
          </cell>
          <cell r="F13">
            <v>3340</v>
          </cell>
        </row>
        <row r="14">
          <cell r="C14">
            <v>91124669.349999994</v>
          </cell>
          <cell r="D14">
            <v>25746331.690000001</v>
          </cell>
          <cell r="E14">
            <v>98504218.530000001</v>
          </cell>
          <cell r="F14">
            <v>651244695.82000005</v>
          </cell>
        </row>
        <row r="15">
          <cell r="C15">
            <v>0</v>
          </cell>
          <cell r="D15">
            <v>0</v>
          </cell>
          <cell r="E15">
            <v>3936554.66</v>
          </cell>
          <cell r="F15">
            <v>0</v>
          </cell>
        </row>
        <row r="16">
          <cell r="C16">
            <v>0</v>
          </cell>
          <cell r="D16">
            <v>0</v>
          </cell>
          <cell r="E16">
            <v>17718</v>
          </cell>
          <cell r="F16">
            <v>0</v>
          </cell>
        </row>
        <row r="17">
          <cell r="C17">
            <v>1225385.79</v>
          </cell>
          <cell r="D17">
            <v>7707530.5599999996</v>
          </cell>
          <cell r="E17">
            <v>179522437.99000001</v>
          </cell>
          <cell r="F17">
            <v>31220574.989999998</v>
          </cell>
        </row>
        <row r="18">
          <cell r="D18">
            <v>26566.68</v>
          </cell>
          <cell r="E18">
            <v>6100445.75</v>
          </cell>
          <cell r="F18">
            <v>2415353.98</v>
          </cell>
        </row>
        <row r="19">
          <cell r="C19">
            <v>0</v>
          </cell>
          <cell r="D19">
            <v>0</v>
          </cell>
          <cell r="E19">
            <v>721949.83</v>
          </cell>
          <cell r="F19">
            <v>0</v>
          </cell>
        </row>
        <row r="20">
          <cell r="C20">
            <v>875023.15</v>
          </cell>
          <cell r="D20">
            <v>0</v>
          </cell>
          <cell r="E20">
            <v>39429</v>
          </cell>
          <cell r="F20">
            <v>0</v>
          </cell>
        </row>
        <row r="21">
          <cell r="C21">
            <v>0</v>
          </cell>
          <cell r="D21">
            <v>19939</v>
          </cell>
          <cell r="E21">
            <v>270682</v>
          </cell>
          <cell r="F21">
            <v>0</v>
          </cell>
        </row>
        <row r="22">
          <cell r="C22">
            <v>0</v>
          </cell>
          <cell r="D22">
            <v>161316.96</v>
          </cell>
          <cell r="E22">
            <v>28496</v>
          </cell>
          <cell r="F22">
            <v>3208692.77</v>
          </cell>
        </row>
        <row r="23">
          <cell r="C23">
            <v>0</v>
          </cell>
          <cell r="D23">
            <v>0</v>
          </cell>
          <cell r="E23">
            <v>67197</v>
          </cell>
          <cell r="F23">
            <v>0</v>
          </cell>
        </row>
        <row r="24">
          <cell r="C24">
            <v>0</v>
          </cell>
          <cell r="D24">
            <v>0</v>
          </cell>
          <cell r="E24">
            <v>143655</v>
          </cell>
          <cell r="F24">
            <v>5000000</v>
          </cell>
        </row>
        <row r="25">
          <cell r="C25">
            <v>0</v>
          </cell>
          <cell r="D25">
            <v>7500</v>
          </cell>
          <cell r="E25">
            <v>107795</v>
          </cell>
          <cell r="F25">
            <v>126000</v>
          </cell>
        </row>
        <row r="26">
          <cell r="C26">
            <v>6713</v>
          </cell>
          <cell r="D26">
            <v>0</v>
          </cell>
          <cell r="E26">
            <v>152751</v>
          </cell>
          <cell r="F26">
            <v>199136</v>
          </cell>
        </row>
        <row r="27">
          <cell r="C27">
            <v>0</v>
          </cell>
          <cell r="D27">
            <v>69901.55</v>
          </cell>
          <cell r="E27">
            <v>228380</v>
          </cell>
          <cell r="F27">
            <v>748528.5</v>
          </cell>
        </row>
        <row r="28">
          <cell r="C28">
            <v>12104271.130000001</v>
          </cell>
          <cell r="E28">
            <v>1960363.66</v>
          </cell>
          <cell r="F28">
            <v>0</v>
          </cell>
        </row>
        <row r="29">
          <cell r="C29">
            <v>11250035</v>
          </cell>
          <cell r="D29">
            <v>0</v>
          </cell>
          <cell r="E29">
            <v>2366289.2400000002</v>
          </cell>
          <cell r="F29">
            <v>2406.4499999999998</v>
          </cell>
        </row>
        <row r="30">
          <cell r="C30">
            <v>0</v>
          </cell>
          <cell r="E30">
            <v>0</v>
          </cell>
          <cell r="F30">
            <v>0</v>
          </cell>
        </row>
        <row r="31">
          <cell r="D31">
            <v>204250.64</v>
          </cell>
          <cell r="E31">
            <v>28558711.550000001</v>
          </cell>
          <cell r="F31">
            <v>0</v>
          </cell>
        </row>
        <row r="32">
          <cell r="C32">
            <v>0</v>
          </cell>
          <cell r="E32">
            <v>0</v>
          </cell>
          <cell r="F32">
            <v>209544.69</v>
          </cell>
        </row>
        <row r="33">
          <cell r="C33">
            <v>0</v>
          </cell>
          <cell r="D33">
            <v>0</v>
          </cell>
          <cell r="E33">
            <v>26416</v>
          </cell>
          <cell r="F33">
            <v>0</v>
          </cell>
        </row>
        <row r="34">
          <cell r="D34">
            <v>336416.29</v>
          </cell>
          <cell r="E34">
            <v>1520885.7</v>
          </cell>
          <cell r="F34">
            <v>6191564.1200000001</v>
          </cell>
        </row>
        <row r="35">
          <cell r="C35">
            <v>5646.91</v>
          </cell>
          <cell r="D35">
            <v>18706.259999999998</v>
          </cell>
          <cell r="E35">
            <v>2014460.38</v>
          </cell>
          <cell r="F35">
            <v>519746.28</v>
          </cell>
        </row>
      </sheetData>
      <sheetData sheetId="45">
        <row r="26">
          <cell r="C26">
            <v>9202</v>
          </cell>
          <cell r="D26">
            <v>9137</v>
          </cell>
        </row>
      </sheetData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opLeftCell="A40" zoomScaleNormal="100" workbookViewId="0">
      <selection activeCell="C48" sqref="C48"/>
    </sheetView>
  </sheetViews>
  <sheetFormatPr defaultColWidth="9.140625" defaultRowHeight="15" x14ac:dyDescent="0.25"/>
  <cols>
    <col min="1" max="1" width="33.28515625" style="8" customWidth="1"/>
    <col min="2" max="2" width="21.42578125" style="8" customWidth="1"/>
    <col min="3" max="3" width="22" style="8" customWidth="1"/>
    <col min="4" max="4" width="36.140625" style="8" customWidth="1"/>
    <col min="5" max="5" width="22.28515625" style="8" customWidth="1"/>
    <col min="6" max="6" width="23.28515625" style="8" customWidth="1"/>
    <col min="7" max="8" width="14.5703125" style="7" customWidth="1"/>
    <col min="9" max="9" width="16" style="7" customWidth="1"/>
    <col min="10" max="10" width="15.7109375" style="7" bestFit="1" customWidth="1"/>
    <col min="11" max="11" width="17" style="8" bestFit="1" customWidth="1"/>
    <col min="12" max="16384" width="9.140625" style="8"/>
  </cols>
  <sheetData>
    <row r="1" spans="1:11" ht="15" customHeight="1" x14ac:dyDescent="0.25">
      <c r="A1" s="1" t="s">
        <v>0</v>
      </c>
      <c r="B1" s="2" t="s">
        <v>1</v>
      </c>
      <c r="C1" s="3"/>
      <c r="D1" s="4"/>
      <c r="E1" s="5" t="s">
        <v>2</v>
      </c>
      <c r="F1" s="6"/>
    </row>
    <row r="2" spans="1:11" x14ac:dyDescent="0.25">
      <c r="A2" s="9"/>
      <c r="B2" s="10"/>
      <c r="C2" s="11"/>
      <c r="D2" s="12"/>
      <c r="E2" s="13"/>
      <c r="F2" s="14"/>
    </row>
    <row r="3" spans="1:11" x14ac:dyDescent="0.25">
      <c r="A3" s="9"/>
      <c r="B3" s="10"/>
      <c r="C3" s="11"/>
      <c r="D3" s="12"/>
      <c r="E3" s="13"/>
      <c r="F3" s="14"/>
    </row>
    <row r="4" spans="1:11" ht="27" customHeight="1" x14ac:dyDescent="0.25">
      <c r="A4" s="9"/>
      <c r="B4" s="10"/>
      <c r="C4" s="11"/>
      <c r="D4" s="12"/>
      <c r="E4" s="13"/>
      <c r="F4" s="14"/>
    </row>
    <row r="5" spans="1:11" x14ac:dyDescent="0.25">
      <c r="A5" s="15" t="s">
        <v>3</v>
      </c>
      <c r="B5" s="16" t="s">
        <v>4</v>
      </c>
      <c r="C5" s="17"/>
      <c r="D5" s="18"/>
      <c r="E5" s="19"/>
      <c r="F5" s="14"/>
    </row>
    <row r="6" spans="1:11" ht="15.75" thickBot="1" x14ac:dyDescent="0.3">
      <c r="A6" s="20" t="s">
        <v>5</v>
      </c>
      <c r="B6" s="21"/>
      <c r="C6" s="22"/>
      <c r="D6" s="23"/>
      <c r="E6" s="24"/>
      <c r="F6" s="25"/>
    </row>
    <row r="7" spans="1:11" ht="22.5" customHeight="1" thickBot="1" x14ac:dyDescent="0.3">
      <c r="A7" s="26" t="s">
        <v>6</v>
      </c>
      <c r="B7" s="26" t="s">
        <v>7</v>
      </c>
      <c r="C7" s="26" t="s">
        <v>8</v>
      </c>
      <c r="D7" s="26" t="s">
        <v>9</v>
      </c>
      <c r="E7" s="26" t="s">
        <v>7</v>
      </c>
      <c r="F7" s="26" t="s">
        <v>8</v>
      </c>
    </row>
    <row r="8" spans="1:11" ht="17.25" customHeight="1" x14ac:dyDescent="0.25">
      <c r="A8" s="27" t="s">
        <v>10</v>
      </c>
      <c r="B8" s="28">
        <f>B9+B10+B20+B21+B25+B26</f>
        <v>18931386067.329998</v>
      </c>
      <c r="C8" s="28">
        <f>C9+C10+C20+C21+C25+C26</f>
        <v>20625765111.52</v>
      </c>
      <c r="D8" s="27" t="s">
        <v>11</v>
      </c>
      <c r="E8" s="28">
        <f>E9+E10+E13+E14</f>
        <v>16873524097.380001</v>
      </c>
      <c r="F8" s="28">
        <f>F9+F10+F13+F14</f>
        <v>18511382361.830002</v>
      </c>
      <c r="G8" s="29"/>
      <c r="H8" s="29"/>
      <c r="I8" s="29"/>
      <c r="J8" s="29"/>
      <c r="K8" s="30"/>
    </row>
    <row r="9" spans="1:11" ht="27" customHeight="1" x14ac:dyDescent="0.25">
      <c r="A9" s="31" t="s">
        <v>12</v>
      </c>
      <c r="B9" s="32">
        <v>34299867.799999997</v>
      </c>
      <c r="C9" s="32">
        <v>31982878.370000001</v>
      </c>
      <c r="D9" s="31" t="s">
        <v>13</v>
      </c>
      <c r="E9" s="32">
        <v>2217296800.8400002</v>
      </c>
      <c r="F9" s="32">
        <v>3530789348.48</v>
      </c>
      <c r="G9" s="29"/>
      <c r="H9" s="29"/>
      <c r="I9" s="29"/>
      <c r="J9" s="29"/>
      <c r="K9" s="30"/>
    </row>
    <row r="10" spans="1:11" ht="16.5" customHeight="1" x14ac:dyDescent="0.25">
      <c r="A10" s="31" t="s">
        <v>14</v>
      </c>
      <c r="B10" s="32">
        <f>B11+B18+B19</f>
        <v>12570912899.25</v>
      </c>
      <c r="C10" s="32">
        <f>C11+C18+C19</f>
        <v>13816071523.529999</v>
      </c>
      <c r="D10" s="31" t="s">
        <v>15</v>
      </c>
      <c r="E10" s="32">
        <f>E11+E12</f>
        <v>14656227296.540001</v>
      </c>
      <c r="F10" s="32">
        <f>F11+F12</f>
        <v>14980593013.35</v>
      </c>
      <c r="G10" s="29"/>
      <c r="H10" s="29"/>
      <c r="I10" s="29"/>
      <c r="J10" s="29"/>
      <c r="K10" s="30"/>
    </row>
    <row r="11" spans="1:11" ht="16.5" customHeight="1" x14ac:dyDescent="0.25">
      <c r="A11" s="31" t="s">
        <v>16</v>
      </c>
      <c r="B11" s="32">
        <f>B12+SUM(B14:B17)</f>
        <v>11174760768.710001</v>
      </c>
      <c r="C11" s="32">
        <f>C12+SUM(C14:C17)</f>
        <v>11796098632.529999</v>
      </c>
      <c r="D11" s="33" t="s">
        <v>17</v>
      </c>
      <c r="E11" s="34">
        <f>16454288263.04-1798060966.5</f>
        <v>14656227296.540001</v>
      </c>
      <c r="F11" s="34">
        <f>16073138418.7-1092545405.35</f>
        <v>14980593013.35</v>
      </c>
      <c r="G11" s="29"/>
      <c r="H11" s="29"/>
      <c r="I11" s="29"/>
      <c r="J11" s="29"/>
      <c r="K11" s="30"/>
    </row>
    <row r="12" spans="1:11" ht="16.5" customHeight="1" x14ac:dyDescent="0.25">
      <c r="A12" s="33" t="s">
        <v>18</v>
      </c>
      <c r="B12" s="34">
        <v>8872086971.5900002</v>
      </c>
      <c r="C12" s="34">
        <v>9474024857.3899994</v>
      </c>
      <c r="D12" s="33" t="s">
        <v>19</v>
      </c>
      <c r="E12" s="34">
        <f>-1798060966.5+1798060966.5</f>
        <v>0</v>
      </c>
      <c r="F12" s="34">
        <f>-1092545405.35+1092545405.35</f>
        <v>0</v>
      </c>
      <c r="G12" s="29"/>
      <c r="H12" s="29"/>
      <c r="I12" s="29"/>
      <c r="J12" s="29"/>
      <c r="K12" s="30"/>
    </row>
    <row r="13" spans="1:11" ht="75" x14ac:dyDescent="0.25">
      <c r="A13" s="33" t="s">
        <v>20</v>
      </c>
      <c r="B13" s="34">
        <v>175232074.28</v>
      </c>
      <c r="C13" s="34">
        <v>142930070.69</v>
      </c>
      <c r="D13" s="31" t="s">
        <v>21</v>
      </c>
      <c r="E13" s="32">
        <v>0</v>
      </c>
      <c r="F13" s="32">
        <v>0</v>
      </c>
      <c r="G13" s="29"/>
      <c r="H13" s="29"/>
      <c r="I13" s="29"/>
      <c r="J13" s="29"/>
      <c r="K13" s="30"/>
    </row>
    <row r="14" spans="1:11" ht="30" x14ac:dyDescent="0.25">
      <c r="A14" s="33" t="s">
        <v>22</v>
      </c>
      <c r="B14" s="34">
        <v>2229488016.0700002</v>
      </c>
      <c r="C14" s="34">
        <v>2239406267.1300001</v>
      </c>
      <c r="D14" s="31" t="s">
        <v>23</v>
      </c>
      <c r="E14" s="32">
        <v>0</v>
      </c>
      <c r="F14" s="32">
        <v>0</v>
      </c>
      <c r="G14" s="29"/>
      <c r="H14" s="29"/>
      <c r="I14" s="29"/>
      <c r="J14" s="29"/>
      <c r="K14" s="30"/>
    </row>
    <row r="15" spans="1:11" ht="30" x14ac:dyDescent="0.25">
      <c r="A15" s="33" t="s">
        <v>24</v>
      </c>
      <c r="B15" s="34">
        <v>39968786.07</v>
      </c>
      <c r="C15" s="34">
        <v>49657990.299999997</v>
      </c>
      <c r="D15" s="31" t="s">
        <v>25</v>
      </c>
      <c r="E15" s="32">
        <v>0</v>
      </c>
      <c r="F15" s="32">
        <v>0</v>
      </c>
      <c r="G15" s="29"/>
      <c r="H15" s="29"/>
      <c r="I15" s="29"/>
      <c r="J15" s="29"/>
      <c r="K15" s="30"/>
    </row>
    <row r="16" spans="1:11" x14ac:dyDescent="0.25">
      <c r="A16" s="33" t="s">
        <v>26</v>
      </c>
      <c r="B16" s="34">
        <v>487531.19</v>
      </c>
      <c r="C16" s="34">
        <v>1167998.06</v>
      </c>
      <c r="D16" s="31" t="s">
        <v>27</v>
      </c>
      <c r="E16" s="32">
        <v>0</v>
      </c>
      <c r="F16" s="32">
        <v>0</v>
      </c>
      <c r="G16" s="29"/>
      <c r="H16" s="29"/>
      <c r="I16" s="29"/>
      <c r="J16" s="29"/>
      <c r="K16" s="30"/>
    </row>
    <row r="17" spans="1:11" ht="30" x14ac:dyDescent="0.25">
      <c r="A17" s="33" t="s">
        <v>28</v>
      </c>
      <c r="B17" s="34">
        <v>32729463.789999999</v>
      </c>
      <c r="C17" s="34">
        <v>31841519.649999999</v>
      </c>
      <c r="D17" s="31" t="s">
        <v>29</v>
      </c>
      <c r="E17" s="35">
        <f>E18+E19+E30+E31</f>
        <v>2575053035.7599998</v>
      </c>
      <c r="F17" s="35">
        <f>F18+F19+F30+F31</f>
        <v>2781013136.7199998</v>
      </c>
      <c r="G17" s="29"/>
      <c r="H17" s="29"/>
      <c r="I17" s="29"/>
      <c r="J17" s="29"/>
      <c r="K17" s="30"/>
    </row>
    <row r="18" spans="1:11" ht="30" x14ac:dyDescent="0.25">
      <c r="A18" s="31" t="s">
        <v>30</v>
      </c>
      <c r="B18" s="32">
        <v>1396152130.54</v>
      </c>
      <c r="C18" s="32">
        <v>2019972891</v>
      </c>
      <c r="D18" s="33" t="s">
        <v>31</v>
      </c>
      <c r="E18" s="32">
        <f>1229825.65-609942.83</f>
        <v>619882.81999999995</v>
      </c>
      <c r="F18" s="32">
        <f>1038469.26-482336.34</f>
        <v>556132.91999999993</v>
      </c>
      <c r="G18" s="29"/>
      <c r="H18" s="29"/>
      <c r="I18" s="29"/>
      <c r="J18" s="29"/>
      <c r="K18" s="30"/>
    </row>
    <row r="19" spans="1:11" ht="32.25" customHeight="1" x14ac:dyDescent="0.25">
      <c r="A19" s="31" t="s">
        <v>32</v>
      </c>
      <c r="B19" s="32">
        <v>0</v>
      </c>
      <c r="C19" s="32">
        <v>0</v>
      </c>
      <c r="D19" s="31" t="s">
        <v>33</v>
      </c>
      <c r="E19" s="36">
        <f>SUM(E20:E27)</f>
        <v>851128363.51999998</v>
      </c>
      <c r="F19" s="36">
        <f>SUM(F20:F27)</f>
        <v>794778261.57000005</v>
      </c>
      <c r="G19" s="29"/>
      <c r="H19" s="29"/>
      <c r="I19" s="29"/>
      <c r="J19" s="29"/>
      <c r="K19" s="30"/>
    </row>
    <row r="20" spans="1:11" x14ac:dyDescent="0.25">
      <c r="A20" s="31" t="s">
        <v>34</v>
      </c>
      <c r="B20" s="32">
        <f>751222791.98-609942.83</f>
        <v>750612849.14999998</v>
      </c>
      <c r="C20" s="32">
        <f>693768546.55-482336.34</f>
        <v>693286210.20999992</v>
      </c>
      <c r="D20" s="33" t="s">
        <v>35</v>
      </c>
      <c r="E20" s="34">
        <v>136115588.03</v>
      </c>
      <c r="F20" s="34">
        <v>106834058.83</v>
      </c>
      <c r="G20" s="29"/>
      <c r="H20" s="29"/>
      <c r="I20" s="29"/>
      <c r="J20" s="29"/>
      <c r="K20" s="30"/>
    </row>
    <row r="21" spans="1:11" ht="30" x14ac:dyDescent="0.25">
      <c r="A21" s="31" t="s">
        <v>36</v>
      </c>
      <c r="B21" s="32">
        <f>SUM(B22:B24)</f>
        <v>5557145013.1300001</v>
      </c>
      <c r="C21" s="32">
        <f>SUM(C22:C24)</f>
        <v>6068969029.7799997</v>
      </c>
      <c r="D21" s="33" t="s">
        <v>37</v>
      </c>
      <c r="E21" s="34">
        <v>10704366.949999999</v>
      </c>
      <c r="F21" s="34">
        <v>15335602.539999999</v>
      </c>
      <c r="G21" s="29"/>
      <c r="H21" s="29"/>
      <c r="I21" s="29"/>
      <c r="J21" s="29"/>
      <c r="K21" s="30"/>
    </row>
    <row r="22" spans="1:11" ht="30" x14ac:dyDescent="0.25">
      <c r="A22" s="33" t="s">
        <v>38</v>
      </c>
      <c r="B22" s="34">
        <v>5557145013.1300001</v>
      </c>
      <c r="C22" s="34">
        <v>6068969029.7799997</v>
      </c>
      <c r="D22" s="33" t="s">
        <v>39</v>
      </c>
      <c r="E22" s="34">
        <v>52865827.700000003</v>
      </c>
      <c r="F22" s="34">
        <v>66722390.159999996</v>
      </c>
      <c r="G22" s="29"/>
      <c r="H22" s="29"/>
      <c r="I22" s="29"/>
      <c r="J22" s="29"/>
      <c r="K22" s="30"/>
    </row>
    <row r="23" spans="1:11" ht="14.25" customHeight="1" x14ac:dyDescent="0.25">
      <c r="A23" s="33" t="s">
        <v>40</v>
      </c>
      <c r="B23" s="34">
        <v>0</v>
      </c>
      <c r="C23" s="34">
        <v>0</v>
      </c>
      <c r="D23" s="33" t="s">
        <v>41</v>
      </c>
      <c r="E23" s="34">
        <v>46258068.310000002</v>
      </c>
      <c r="F23" s="34">
        <v>52466679.100000001</v>
      </c>
      <c r="G23" s="29"/>
      <c r="H23" s="29"/>
      <c r="I23" s="29"/>
      <c r="J23" s="29"/>
      <c r="K23" s="30"/>
    </row>
    <row r="24" spans="1:11" ht="30" x14ac:dyDescent="0.25">
      <c r="A24" s="33" t="s">
        <v>42</v>
      </c>
      <c r="B24" s="34">
        <v>0</v>
      </c>
      <c r="C24" s="34">
        <v>0</v>
      </c>
      <c r="D24" s="33" t="s">
        <v>43</v>
      </c>
      <c r="E24" s="34">
        <f>671138370.26-242171241.49</f>
        <v>428967128.76999998</v>
      </c>
      <c r="F24" s="34">
        <f>534085434.58-179135917.7</f>
        <v>354949516.88</v>
      </c>
      <c r="G24" s="29"/>
      <c r="H24" s="29"/>
      <c r="I24" s="29"/>
      <c r="J24" s="29"/>
      <c r="K24" s="30"/>
    </row>
    <row r="25" spans="1:11" ht="30" x14ac:dyDescent="0.25">
      <c r="A25" s="31" t="s">
        <v>44</v>
      </c>
      <c r="B25" s="32">
        <v>18415438</v>
      </c>
      <c r="C25" s="32">
        <v>15455469.630000001</v>
      </c>
      <c r="D25" s="33" t="s">
        <v>45</v>
      </c>
      <c r="E25" s="34">
        <v>166262123.36000001</v>
      </c>
      <c r="F25" s="34">
        <v>189547204.84999999</v>
      </c>
      <c r="G25" s="29"/>
      <c r="H25" s="29"/>
      <c r="I25" s="29"/>
      <c r="J25" s="29"/>
      <c r="K25" s="30"/>
    </row>
    <row r="26" spans="1:11" ht="45" x14ac:dyDescent="0.25">
      <c r="A26" s="31" t="s">
        <v>46</v>
      </c>
      <c r="B26" s="32">
        <v>0</v>
      </c>
      <c r="C26" s="32">
        <v>0</v>
      </c>
      <c r="D26" s="33" t="s">
        <v>47</v>
      </c>
      <c r="E26" s="34">
        <v>833235.03</v>
      </c>
      <c r="F26" s="34">
        <v>1342789.95</v>
      </c>
      <c r="G26" s="29"/>
      <c r="H26" s="29"/>
      <c r="I26" s="29"/>
      <c r="J26" s="29"/>
      <c r="K26" s="30"/>
    </row>
    <row r="27" spans="1:11" x14ac:dyDescent="0.25">
      <c r="A27" s="31" t="s">
        <v>48</v>
      </c>
      <c r="B27" s="32">
        <f>B28+B33+B39+B47</f>
        <v>517191065.81</v>
      </c>
      <c r="C27" s="32">
        <f>C28+C33+C39+C47</f>
        <v>666630387.02999997</v>
      </c>
      <c r="D27" s="33" t="s">
        <v>49</v>
      </c>
      <c r="E27" s="34">
        <f>SUM(E28:E29)</f>
        <v>9122025.3699999992</v>
      </c>
      <c r="F27" s="34">
        <f>SUM(F28:F29)</f>
        <v>7580019.2599999998</v>
      </c>
      <c r="G27" s="29"/>
      <c r="H27" s="29"/>
      <c r="I27" s="29"/>
      <c r="J27" s="29"/>
      <c r="K27" s="30"/>
    </row>
    <row r="28" spans="1:11" ht="30" x14ac:dyDescent="0.25">
      <c r="A28" s="31" t="s">
        <v>50</v>
      </c>
      <c r="B28" s="32">
        <f>SUM(B29:B32)</f>
        <v>2112275.7999999998</v>
      </c>
      <c r="C28" s="32">
        <f>SUM(C29:C32)</f>
        <v>2326652.1500000004</v>
      </c>
      <c r="D28" s="33" t="s">
        <v>51</v>
      </c>
      <c r="E28" s="34">
        <v>9122025.3699999992</v>
      </c>
      <c r="F28" s="34">
        <v>7580019.2599999998</v>
      </c>
      <c r="G28" s="29"/>
      <c r="H28" s="29"/>
      <c r="I28" s="29"/>
      <c r="J28" s="29"/>
      <c r="K28" s="30"/>
    </row>
    <row r="29" spans="1:11" x14ac:dyDescent="0.25">
      <c r="A29" s="33" t="s">
        <v>52</v>
      </c>
      <c r="B29" s="34">
        <v>1720430.5</v>
      </c>
      <c r="C29" s="34">
        <v>1569929.35</v>
      </c>
      <c r="D29" s="33" t="s">
        <v>53</v>
      </c>
      <c r="E29" s="34">
        <v>0</v>
      </c>
      <c r="F29" s="34">
        <v>0</v>
      </c>
      <c r="G29" s="29"/>
      <c r="H29" s="29"/>
      <c r="I29" s="29"/>
      <c r="J29" s="29"/>
      <c r="K29" s="30"/>
    </row>
    <row r="30" spans="1:11" x14ac:dyDescent="0.25">
      <c r="A30" s="33" t="s">
        <v>54</v>
      </c>
      <c r="B30" s="34">
        <v>0</v>
      </c>
      <c r="C30" s="34">
        <v>0</v>
      </c>
      <c r="D30" s="31" t="s">
        <v>55</v>
      </c>
      <c r="E30" s="32">
        <v>1582486965.03</v>
      </c>
      <c r="F30" s="32">
        <v>1833383001.71</v>
      </c>
      <c r="G30" s="29"/>
      <c r="H30" s="29"/>
      <c r="I30" s="29"/>
      <c r="J30" s="29"/>
      <c r="K30" s="30"/>
    </row>
    <row r="31" spans="1:11" x14ac:dyDescent="0.25">
      <c r="A31" s="33" t="s">
        <v>56</v>
      </c>
      <c r="B31" s="34">
        <v>0</v>
      </c>
      <c r="C31" s="37">
        <v>0</v>
      </c>
      <c r="D31" s="31" t="s">
        <v>57</v>
      </c>
      <c r="E31" s="32">
        <f>E32+E33</f>
        <v>140817824.38999999</v>
      </c>
      <c r="F31" s="32">
        <f>F32+F33</f>
        <v>152295740.52000001</v>
      </c>
      <c r="G31" s="29"/>
      <c r="H31" s="29"/>
      <c r="I31" s="29"/>
      <c r="J31" s="29"/>
      <c r="K31" s="30"/>
    </row>
    <row r="32" spans="1:11" ht="30" x14ac:dyDescent="0.25">
      <c r="A32" s="33" t="s">
        <v>58</v>
      </c>
      <c r="B32" s="34">
        <v>391845.3</v>
      </c>
      <c r="C32" s="34">
        <v>756722.8</v>
      </c>
      <c r="D32" s="33" t="s">
        <v>59</v>
      </c>
      <c r="E32" s="34">
        <v>140817824.38999999</v>
      </c>
      <c r="F32" s="34">
        <v>152295740.52000001</v>
      </c>
      <c r="G32" s="29"/>
      <c r="H32" s="29"/>
      <c r="I32" s="29"/>
      <c r="J32" s="29"/>
      <c r="K32" s="30"/>
    </row>
    <row r="33" spans="1:11" x14ac:dyDescent="0.25">
      <c r="A33" s="31" t="s">
        <v>60</v>
      </c>
      <c r="B33" s="32">
        <f>SUM(B34:B38)</f>
        <v>281341722.81999999</v>
      </c>
      <c r="C33" s="32">
        <f>SUM(C34:C38)</f>
        <v>419562592.36000001</v>
      </c>
      <c r="D33" s="33" t="s">
        <v>61</v>
      </c>
      <c r="E33" s="34">
        <v>0</v>
      </c>
      <c r="F33" s="34">
        <v>0</v>
      </c>
      <c r="G33" s="29"/>
      <c r="H33" s="29"/>
      <c r="I33" s="29"/>
      <c r="J33" s="29"/>
      <c r="K33" s="30"/>
    </row>
    <row r="34" spans="1:11" x14ac:dyDescent="0.25">
      <c r="A34" s="33" t="s">
        <v>62</v>
      </c>
      <c r="B34" s="34">
        <v>6267281.1900000004</v>
      </c>
      <c r="C34" s="34">
        <v>6486580.5300000003</v>
      </c>
      <c r="D34" s="33"/>
      <c r="E34" s="32"/>
      <c r="F34" s="32"/>
      <c r="G34" s="29"/>
      <c r="H34" s="29"/>
      <c r="I34" s="29"/>
      <c r="J34" s="29"/>
      <c r="K34" s="30"/>
    </row>
    <row r="35" spans="1:11" x14ac:dyDescent="0.25">
      <c r="A35" s="33" t="s">
        <v>63</v>
      </c>
      <c r="B35" s="34">
        <v>29345836.539999999</v>
      </c>
      <c r="C35" s="34">
        <v>62483697.159999996</v>
      </c>
      <c r="D35" s="33"/>
      <c r="E35" s="32"/>
      <c r="F35" s="32"/>
      <c r="G35" s="29"/>
      <c r="H35" s="29"/>
      <c r="I35" s="29"/>
      <c r="J35" s="29"/>
      <c r="K35" s="30"/>
    </row>
    <row r="36" spans="1:11" ht="30" x14ac:dyDescent="0.25">
      <c r="A36" s="33" t="s">
        <v>64</v>
      </c>
      <c r="B36" s="34">
        <v>129.99</v>
      </c>
      <c r="C36" s="34">
        <v>202.27</v>
      </c>
      <c r="D36" s="33"/>
      <c r="E36" s="32"/>
      <c r="F36" s="32"/>
      <c r="G36" s="29"/>
      <c r="H36" s="29"/>
      <c r="I36" s="29"/>
      <c r="J36" s="29"/>
      <c r="K36" s="30"/>
    </row>
    <row r="37" spans="1:11" x14ac:dyDescent="0.25">
      <c r="A37" s="33" t="s">
        <v>65</v>
      </c>
      <c r="B37" s="34">
        <f>487899459.42-242171241.49</f>
        <v>245728217.93000001</v>
      </c>
      <c r="C37" s="34">
        <f>529728030.1-179135917.7</f>
        <v>350592112.40000004</v>
      </c>
      <c r="D37" s="31"/>
      <c r="E37" s="32"/>
      <c r="F37" s="32"/>
      <c r="G37" s="29"/>
      <c r="H37" s="29"/>
      <c r="I37" s="29"/>
      <c r="J37" s="29"/>
    </row>
    <row r="38" spans="1:11" ht="45" x14ac:dyDescent="0.25">
      <c r="A38" s="33" t="s">
        <v>66</v>
      </c>
      <c r="B38" s="34">
        <v>257.17</v>
      </c>
      <c r="C38" s="34">
        <v>0</v>
      </c>
      <c r="D38" s="33"/>
      <c r="E38" s="38"/>
      <c r="F38" s="38"/>
      <c r="G38" s="29"/>
      <c r="H38" s="29"/>
      <c r="I38" s="29"/>
      <c r="J38" s="29"/>
    </row>
    <row r="39" spans="1:11" ht="28.5" customHeight="1" x14ac:dyDescent="0.25">
      <c r="A39" s="31" t="s">
        <v>67</v>
      </c>
      <c r="B39" s="32">
        <f>SUM(B40:B46)</f>
        <v>181279377.06999999</v>
      </c>
      <c r="C39" s="32">
        <f>SUM(C40:C46)</f>
        <v>201166683.41</v>
      </c>
      <c r="D39" s="33"/>
      <c r="E39" s="39"/>
      <c r="F39" s="39"/>
      <c r="G39" s="29"/>
      <c r="H39" s="29"/>
      <c r="I39" s="29"/>
      <c r="J39" s="29"/>
    </row>
    <row r="40" spans="1:11" ht="18.75" customHeight="1" x14ac:dyDescent="0.25">
      <c r="A40" s="33" t="s">
        <v>68</v>
      </c>
      <c r="B40" s="34">
        <v>0</v>
      </c>
      <c r="C40" s="34">
        <v>0</v>
      </c>
      <c r="D40" s="33"/>
      <c r="E40" s="39"/>
      <c r="F40" s="39"/>
      <c r="G40" s="29"/>
      <c r="H40" s="29"/>
      <c r="I40" s="29"/>
      <c r="J40" s="29"/>
    </row>
    <row r="41" spans="1:11" ht="31.5" customHeight="1" x14ac:dyDescent="0.25">
      <c r="A41" s="33" t="s">
        <v>69</v>
      </c>
      <c r="B41" s="34">
        <v>13113647.25</v>
      </c>
      <c r="C41" s="34">
        <v>10032146.32</v>
      </c>
      <c r="D41" s="33"/>
      <c r="E41" s="39"/>
      <c r="F41" s="39"/>
      <c r="G41" s="29"/>
      <c r="H41" s="29"/>
      <c r="I41" s="29"/>
      <c r="J41" s="29"/>
    </row>
    <row r="42" spans="1:11" ht="30" x14ac:dyDescent="0.25">
      <c r="A42" s="33" t="s">
        <v>70</v>
      </c>
      <c r="B42" s="34">
        <v>0</v>
      </c>
      <c r="C42" s="34">
        <v>0</v>
      </c>
      <c r="D42" s="33"/>
      <c r="E42" s="39"/>
      <c r="F42" s="39"/>
      <c r="G42" s="29"/>
      <c r="H42" s="29"/>
      <c r="I42" s="29"/>
      <c r="J42" s="29"/>
    </row>
    <row r="43" spans="1:11" ht="18.75" customHeight="1" x14ac:dyDescent="0.25">
      <c r="A43" s="33" t="s">
        <v>71</v>
      </c>
      <c r="B43" s="38">
        <v>168165729.81999999</v>
      </c>
      <c r="C43" s="38">
        <v>191134537.09</v>
      </c>
      <c r="D43" s="33"/>
      <c r="E43" s="39"/>
      <c r="F43" s="39"/>
      <c r="G43" s="29"/>
      <c r="H43" s="29"/>
      <c r="I43" s="29"/>
      <c r="J43" s="29"/>
    </row>
    <row r="44" spans="1:11" ht="16.5" customHeight="1" x14ac:dyDescent="0.25">
      <c r="A44" s="33" t="s">
        <v>72</v>
      </c>
      <c r="B44" s="34">
        <v>0</v>
      </c>
      <c r="C44" s="34">
        <v>0</v>
      </c>
      <c r="D44" s="33"/>
      <c r="E44" s="39"/>
      <c r="F44" s="39"/>
      <c r="G44" s="29"/>
      <c r="H44" s="29"/>
      <c r="I44" s="29"/>
      <c r="J44" s="29"/>
    </row>
    <row r="45" spans="1:11" ht="18.75" customHeight="1" x14ac:dyDescent="0.25">
      <c r="A45" s="33" t="s">
        <v>73</v>
      </c>
      <c r="B45" s="34">
        <v>0</v>
      </c>
      <c r="C45" s="34">
        <v>0</v>
      </c>
      <c r="D45" s="33"/>
      <c r="E45" s="39"/>
      <c r="F45" s="39"/>
      <c r="G45" s="29"/>
      <c r="H45" s="29"/>
      <c r="I45" s="29"/>
      <c r="J45" s="29"/>
    </row>
    <row r="46" spans="1:11" ht="26.45" customHeight="1" x14ac:dyDescent="0.25">
      <c r="A46" s="33" t="s">
        <v>74</v>
      </c>
      <c r="B46" s="34">
        <v>0</v>
      </c>
      <c r="C46" s="34">
        <v>0</v>
      </c>
      <c r="D46" s="33"/>
      <c r="E46" s="39"/>
      <c r="F46" s="39"/>
      <c r="G46" s="29"/>
      <c r="H46" s="29"/>
      <c r="I46" s="29"/>
      <c r="J46" s="29"/>
    </row>
    <row r="47" spans="1:11" ht="18.75" customHeight="1" thickBot="1" x14ac:dyDescent="0.3">
      <c r="A47" s="40" t="s">
        <v>75</v>
      </c>
      <c r="B47" s="41">
        <v>52457690.119999997</v>
      </c>
      <c r="C47" s="41">
        <v>43574459.109999999</v>
      </c>
      <c r="D47" s="42"/>
      <c r="E47" s="43"/>
      <c r="F47" s="43"/>
      <c r="G47" s="29"/>
      <c r="H47" s="29"/>
      <c r="I47" s="29"/>
      <c r="J47" s="29"/>
    </row>
    <row r="48" spans="1:11" ht="17.25" customHeight="1" thickBot="1" x14ac:dyDescent="0.3">
      <c r="A48" s="44" t="s">
        <v>76</v>
      </c>
      <c r="B48" s="45">
        <f>B8+B27</f>
        <v>19448577133.139999</v>
      </c>
      <c r="C48" s="45">
        <f>C8+C27</f>
        <v>21292395498.549999</v>
      </c>
      <c r="D48" s="44" t="s">
        <v>77</v>
      </c>
      <c r="E48" s="45">
        <f>E8+E15+E16+E17</f>
        <v>19448577133.139999</v>
      </c>
      <c r="F48" s="45">
        <f>F8+F15+F16+F17</f>
        <v>21292395498.550003</v>
      </c>
      <c r="G48" s="29"/>
      <c r="H48" s="29"/>
      <c r="I48" s="29"/>
      <c r="J48" s="29"/>
    </row>
    <row r="49" spans="1:10" x14ac:dyDescent="0.25">
      <c r="A49" s="46"/>
      <c r="B49" s="46"/>
      <c r="C49" s="46"/>
      <c r="D49" s="46"/>
      <c r="E49" s="46"/>
      <c r="F49" s="46"/>
    </row>
    <row r="50" spans="1:10" s="50" customFormat="1" x14ac:dyDescent="0.25">
      <c r="A50" s="47"/>
      <c r="B50" s="48"/>
      <c r="C50" s="48"/>
      <c r="D50" s="47"/>
      <c r="E50" s="49">
        <f>E48-B48</f>
        <v>0</v>
      </c>
      <c r="F50" s="49">
        <f>F48-C48</f>
        <v>0</v>
      </c>
      <c r="I50" s="7"/>
      <c r="J50" s="7"/>
    </row>
    <row r="51" spans="1:10" x14ac:dyDescent="0.25">
      <c r="A51" s="51"/>
      <c r="B51" s="51"/>
      <c r="C51" s="51"/>
      <c r="D51" s="51"/>
      <c r="E51" s="51"/>
      <c r="F51" s="51"/>
    </row>
    <row r="52" spans="1:10" x14ac:dyDescent="0.25">
      <c r="A52" s="51"/>
      <c r="B52" s="51"/>
      <c r="C52" s="51"/>
      <c r="D52" s="51"/>
      <c r="E52" s="51"/>
      <c r="F52" s="51"/>
    </row>
    <row r="53" spans="1:10" ht="15" customHeight="1" x14ac:dyDescent="0.25">
      <c r="A53" s="51"/>
      <c r="B53" s="51"/>
      <c r="C53" s="52">
        <v>45425</v>
      </c>
      <c r="D53" s="52"/>
      <c r="E53" s="51"/>
      <c r="F53" s="51"/>
    </row>
    <row r="54" spans="1:10" ht="30" x14ac:dyDescent="0.25">
      <c r="A54" s="53" t="s">
        <v>78</v>
      </c>
      <c r="B54" s="53"/>
      <c r="C54" s="54" t="s">
        <v>79</v>
      </c>
      <c r="D54" s="55"/>
      <c r="E54" s="53"/>
      <c r="F54" s="53" t="s">
        <v>80</v>
      </c>
    </row>
    <row r="55" spans="1:10" x14ac:dyDescent="0.25">
      <c r="A55" s="53" t="s">
        <v>81</v>
      </c>
      <c r="E55" s="53"/>
      <c r="F55" s="53" t="s">
        <v>82</v>
      </c>
    </row>
    <row r="56" spans="1:10" x14ac:dyDescent="0.25">
      <c r="A56" s="53"/>
      <c r="B56" s="53"/>
      <c r="C56" s="53"/>
      <c r="E56" s="53"/>
    </row>
    <row r="57" spans="1:10" x14ac:dyDescent="0.25">
      <c r="A57" s="56"/>
      <c r="B57" s="53"/>
      <c r="C57" s="53"/>
      <c r="E57" s="53"/>
    </row>
    <row r="58" spans="1:10" x14ac:dyDescent="0.25">
      <c r="A58" s="53"/>
      <c r="B58" s="53"/>
      <c r="C58" s="53"/>
      <c r="E58" s="53"/>
    </row>
    <row r="63" spans="1:10" x14ac:dyDescent="0.25">
      <c r="A63" s="57"/>
    </row>
  </sheetData>
  <mergeCells count="7">
    <mergeCell ref="C54:D54"/>
    <mergeCell ref="A1:A4"/>
    <mergeCell ref="B1:D4"/>
    <mergeCell ref="E1:F6"/>
    <mergeCell ref="B5:D6"/>
    <mergeCell ref="A49:F49"/>
    <mergeCell ref="C53:D53"/>
  </mergeCells>
  <pageMargins left="0.31496062992125984" right="0.31496062992125984" top="0.35433070866141736" bottom="0.35433070866141736" header="0.31496062992125984" footer="0.31496062992125984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opLeftCell="A28" zoomScaleNormal="100" workbookViewId="0">
      <selection activeCell="D45" sqref="D45"/>
    </sheetView>
  </sheetViews>
  <sheetFormatPr defaultColWidth="9.140625" defaultRowHeight="15" x14ac:dyDescent="0.25"/>
  <cols>
    <col min="1" max="1" width="35.28515625" style="8" customWidth="1"/>
    <col min="2" max="2" width="29.28515625" style="8" customWidth="1"/>
    <col min="3" max="3" width="29.7109375" style="8" customWidth="1"/>
    <col min="4" max="4" width="26.42578125" style="8" customWidth="1"/>
    <col min="5" max="5" width="27.5703125" style="7" customWidth="1"/>
    <col min="6" max="6" width="12.42578125" style="7" bestFit="1" customWidth="1"/>
    <col min="7" max="7" width="12.7109375" style="7" customWidth="1"/>
    <col min="8" max="9" width="14.42578125" style="8" customWidth="1"/>
    <col min="10" max="16384" width="9.140625" style="8"/>
  </cols>
  <sheetData>
    <row r="1" spans="1:15" ht="29.25" customHeight="1" x14ac:dyDescent="0.25">
      <c r="A1" s="1" t="s">
        <v>0</v>
      </c>
      <c r="B1" s="58" t="s">
        <v>83</v>
      </c>
      <c r="C1" s="59"/>
      <c r="D1" s="1" t="s">
        <v>84</v>
      </c>
    </row>
    <row r="2" spans="1:15" x14ac:dyDescent="0.25">
      <c r="A2" s="9"/>
      <c r="B2" s="60" t="s">
        <v>85</v>
      </c>
      <c r="C2" s="61"/>
      <c r="D2" s="9"/>
    </row>
    <row r="3" spans="1:15" ht="21" customHeight="1" x14ac:dyDescent="0.25">
      <c r="A3" s="9"/>
      <c r="B3" s="60" t="s">
        <v>86</v>
      </c>
      <c r="C3" s="61"/>
      <c r="D3" s="9"/>
    </row>
    <row r="4" spans="1:15" ht="16.899999999999999" customHeight="1" x14ac:dyDescent="0.25">
      <c r="A4" s="9"/>
      <c r="B4" s="60"/>
      <c r="C4" s="61"/>
      <c r="D4" s="9"/>
    </row>
    <row r="5" spans="1:15" x14ac:dyDescent="0.25">
      <c r="A5" s="15" t="s">
        <v>3</v>
      </c>
      <c r="B5" s="16" t="s">
        <v>4</v>
      </c>
      <c r="C5" s="18"/>
      <c r="D5" s="62"/>
    </row>
    <row r="6" spans="1:15" ht="15.75" thickBot="1" x14ac:dyDescent="0.3">
      <c r="A6" s="20" t="s">
        <v>5</v>
      </c>
      <c r="B6" s="21"/>
      <c r="C6" s="23"/>
      <c r="D6" s="63"/>
    </row>
    <row r="7" spans="1:15" ht="31.5" customHeight="1" thickBot="1" x14ac:dyDescent="0.3">
      <c r="A7" s="64"/>
      <c r="B7" s="65"/>
      <c r="C7" s="26" t="s">
        <v>87</v>
      </c>
      <c r="D7" s="66" t="s">
        <v>88</v>
      </c>
      <c r="J7" s="67"/>
      <c r="K7" s="67"/>
      <c r="L7" s="67"/>
      <c r="M7" s="67"/>
      <c r="N7" s="67"/>
      <c r="O7" s="67"/>
    </row>
    <row r="8" spans="1:15" ht="14.25" customHeight="1" x14ac:dyDescent="0.25">
      <c r="A8" s="68" t="s">
        <v>89</v>
      </c>
      <c r="B8" s="69"/>
      <c r="C8" s="70">
        <f>SUM(C9:C14)</f>
        <v>18678534948.169998</v>
      </c>
      <c r="D8" s="70">
        <f>SUM(D9:D14)</f>
        <v>18481115128.979996</v>
      </c>
      <c r="E8" s="29"/>
      <c r="F8" s="71"/>
      <c r="G8" s="72"/>
      <c r="H8" s="73"/>
      <c r="I8" s="73"/>
      <c r="J8" s="67"/>
      <c r="K8" s="67"/>
      <c r="L8" s="67"/>
      <c r="M8" s="67"/>
      <c r="N8" s="67"/>
      <c r="O8" s="67"/>
    </row>
    <row r="9" spans="1:15" ht="14.25" customHeight="1" x14ac:dyDescent="0.25">
      <c r="A9" s="74" t="s">
        <v>90</v>
      </c>
      <c r="B9" s="75"/>
      <c r="C9" s="34">
        <f>385183619.1-46172.78</f>
        <v>385137446.32000005</v>
      </c>
      <c r="D9" s="34">
        <f>409092705.39-45836.04</f>
        <v>409046869.34999996</v>
      </c>
      <c r="E9" s="29"/>
      <c r="F9" s="71"/>
      <c r="G9" s="76"/>
      <c r="H9" s="77"/>
      <c r="I9" s="77"/>
      <c r="J9" s="67"/>
      <c r="K9" s="67"/>
      <c r="L9" s="67"/>
      <c r="M9" s="67"/>
      <c r="N9" s="67"/>
      <c r="O9" s="67"/>
    </row>
    <row r="10" spans="1:15" ht="33.75" customHeight="1" x14ac:dyDescent="0.25">
      <c r="A10" s="74" t="s">
        <v>91</v>
      </c>
      <c r="B10" s="75"/>
      <c r="C10" s="34">
        <v>176846.83</v>
      </c>
      <c r="D10" s="34">
        <v>27303.040000000001</v>
      </c>
      <c r="E10" s="29"/>
      <c r="F10" s="71"/>
      <c r="G10" s="76"/>
      <c r="H10" s="77"/>
      <c r="I10" s="77"/>
      <c r="J10" s="78"/>
      <c r="K10" s="78"/>
      <c r="L10" s="67"/>
      <c r="M10" s="79"/>
      <c r="N10" s="67"/>
      <c r="O10" s="67"/>
    </row>
    <row r="11" spans="1:15" ht="14.25" customHeight="1" x14ac:dyDescent="0.25">
      <c r="A11" s="74" t="s">
        <v>92</v>
      </c>
      <c r="B11" s="75"/>
      <c r="C11" s="34">
        <v>0</v>
      </c>
      <c r="D11" s="34">
        <v>0</v>
      </c>
      <c r="E11" s="29"/>
      <c r="F11" s="71"/>
      <c r="G11" s="80"/>
      <c r="H11" s="81"/>
      <c r="I11" s="81"/>
      <c r="J11" s="67"/>
      <c r="K11" s="67"/>
      <c r="L11" s="67"/>
      <c r="M11" s="79"/>
      <c r="N11" s="67"/>
      <c r="O11" s="67"/>
    </row>
    <row r="12" spans="1:15" ht="14.25" customHeight="1" x14ac:dyDescent="0.25">
      <c r="A12" s="74" t="s">
        <v>93</v>
      </c>
      <c r="B12" s="75"/>
      <c r="C12" s="34">
        <v>168780.48</v>
      </c>
      <c r="D12" s="34">
        <v>805138.21</v>
      </c>
      <c r="E12" s="29"/>
      <c r="F12" s="71"/>
      <c r="G12" s="76"/>
      <c r="H12" s="77"/>
      <c r="I12" s="77"/>
      <c r="J12" s="67"/>
      <c r="K12" s="67"/>
      <c r="L12" s="67"/>
      <c r="M12" s="79"/>
      <c r="N12" s="67"/>
      <c r="O12" s="67"/>
    </row>
    <row r="13" spans="1:15" ht="14.25" customHeight="1" x14ac:dyDescent="0.25">
      <c r="A13" s="74" t="s">
        <v>94</v>
      </c>
      <c r="B13" s="75"/>
      <c r="C13" s="34">
        <v>0</v>
      </c>
      <c r="D13" s="34">
        <v>0</v>
      </c>
      <c r="E13" s="29"/>
      <c r="F13" s="71"/>
      <c r="G13" s="76"/>
      <c r="H13" s="77"/>
      <c r="I13" s="77"/>
      <c r="J13" s="67"/>
      <c r="K13" s="67"/>
      <c r="L13" s="67"/>
      <c r="M13" s="67"/>
      <c r="N13" s="67"/>
      <c r="O13" s="67"/>
    </row>
    <row r="14" spans="1:15" ht="14.25" customHeight="1" x14ac:dyDescent="0.25">
      <c r="A14" s="74" t="s">
        <v>95</v>
      </c>
      <c r="B14" s="75"/>
      <c r="C14" s="34">
        <f>18304764480.51-11712605.97</f>
        <v>18293051874.539997</v>
      </c>
      <c r="D14" s="34">
        <f>18083710365.62-12474547.24</f>
        <v>18071235818.379997</v>
      </c>
      <c r="E14" s="29"/>
      <c r="F14" s="71"/>
      <c r="G14" s="76"/>
      <c r="H14" s="77"/>
      <c r="I14" s="77"/>
      <c r="J14" s="67"/>
      <c r="K14" s="67"/>
      <c r="L14" s="67"/>
      <c r="M14" s="67"/>
      <c r="N14" s="67"/>
      <c r="O14" s="67"/>
    </row>
    <row r="15" spans="1:15" ht="14.25" customHeight="1" x14ac:dyDescent="0.25">
      <c r="A15" s="82" t="s">
        <v>96</v>
      </c>
      <c r="B15" s="83"/>
      <c r="C15" s="32">
        <f>SUM(C16:C25)</f>
        <v>3847288801.9799995</v>
      </c>
      <c r="D15" s="32">
        <f>SUM(D16:D25)</f>
        <v>3077092019.6700001</v>
      </c>
      <c r="E15" s="29"/>
      <c r="F15" s="71"/>
      <c r="G15" s="72"/>
      <c r="H15" s="73"/>
      <c r="I15" s="73"/>
      <c r="J15" s="67"/>
      <c r="K15" s="67"/>
      <c r="L15" s="67"/>
      <c r="M15" s="67"/>
      <c r="N15" s="67"/>
      <c r="O15" s="67"/>
    </row>
    <row r="16" spans="1:15" x14ac:dyDescent="0.25">
      <c r="A16" s="74" t="s">
        <v>97</v>
      </c>
      <c r="B16" s="75"/>
      <c r="C16" s="34">
        <v>168641406.11000001</v>
      </c>
      <c r="D16" s="34">
        <v>172749263.59999999</v>
      </c>
      <c r="E16" s="29"/>
      <c r="F16" s="71"/>
      <c r="G16" s="76"/>
      <c r="H16" s="77"/>
      <c r="I16" s="77"/>
      <c r="J16" s="67"/>
      <c r="K16" s="67"/>
      <c r="L16" s="67"/>
      <c r="M16" s="67"/>
      <c r="N16" s="67"/>
      <c r="O16" s="67"/>
    </row>
    <row r="17" spans="1:15" x14ac:dyDescent="0.25">
      <c r="A17" s="74" t="s">
        <v>98</v>
      </c>
      <c r="B17" s="75"/>
      <c r="C17" s="34">
        <v>64051384.579999998</v>
      </c>
      <c r="D17" s="34">
        <v>83564795.920000002</v>
      </c>
      <c r="E17" s="29"/>
      <c r="F17" s="71"/>
      <c r="G17" s="76"/>
      <c r="H17" s="77"/>
      <c r="I17" s="77"/>
      <c r="J17" s="67"/>
      <c r="K17" s="67"/>
      <c r="L17" s="67"/>
      <c r="M17" s="67"/>
      <c r="N17" s="67"/>
      <c r="O17" s="67"/>
    </row>
    <row r="18" spans="1:15" x14ac:dyDescent="0.25">
      <c r="A18" s="74" t="s">
        <v>99</v>
      </c>
      <c r="B18" s="75"/>
      <c r="C18" s="34">
        <v>1049258539.11</v>
      </c>
      <c r="D18" s="34">
        <v>1072413479.2</v>
      </c>
      <c r="E18" s="29"/>
      <c r="F18" s="71"/>
      <c r="G18" s="76"/>
      <c r="H18" s="77"/>
      <c r="I18" s="77"/>
      <c r="J18" s="67"/>
      <c r="K18" s="67"/>
      <c r="L18" s="67"/>
      <c r="M18" s="67"/>
      <c r="N18" s="67"/>
      <c r="O18" s="67"/>
    </row>
    <row r="19" spans="1:15" x14ac:dyDescent="0.25">
      <c r="A19" s="74" t="s">
        <v>100</v>
      </c>
      <c r="B19" s="75"/>
      <c r="C19" s="34">
        <f>29125036.79-11544532.93</f>
        <v>17580503.859999999</v>
      </c>
      <c r="D19" s="34">
        <f>29513236.06-12308351.22</f>
        <v>17204884.839999996</v>
      </c>
      <c r="E19" s="29"/>
      <c r="F19" s="71"/>
      <c r="G19" s="76"/>
      <c r="H19" s="77"/>
      <c r="I19" s="77"/>
      <c r="J19" s="67"/>
      <c r="K19" s="67"/>
      <c r="L19" s="67"/>
      <c r="M19" s="67"/>
      <c r="N19" s="67"/>
      <c r="O19" s="67"/>
    </row>
    <row r="20" spans="1:15" x14ac:dyDescent="0.25">
      <c r="A20" s="74" t="s">
        <v>101</v>
      </c>
      <c r="B20" s="75"/>
      <c r="C20" s="34">
        <v>906176570.45000005</v>
      </c>
      <c r="D20" s="34">
        <v>1042500394.95</v>
      </c>
      <c r="E20" s="29"/>
      <c r="F20" s="71"/>
      <c r="G20" s="76"/>
      <c r="H20" s="77"/>
      <c r="I20" s="77"/>
    </row>
    <row r="21" spans="1:15" ht="14.25" customHeight="1" x14ac:dyDescent="0.25">
      <c r="A21" s="74" t="s">
        <v>102</v>
      </c>
      <c r="B21" s="75"/>
      <c r="C21" s="34">
        <v>190668101.97999999</v>
      </c>
      <c r="D21" s="34">
        <v>219701839.24000001</v>
      </c>
      <c r="E21" s="29"/>
      <c r="F21" s="71"/>
      <c r="G21" s="76"/>
      <c r="H21" s="77"/>
      <c r="I21" s="77"/>
    </row>
    <row r="22" spans="1:15" x14ac:dyDescent="0.25">
      <c r="A22" s="74" t="s">
        <v>103</v>
      </c>
      <c r="B22" s="75"/>
      <c r="C22" s="34">
        <v>32310425.719999999</v>
      </c>
      <c r="D22" s="34">
        <v>31805259.780000001</v>
      </c>
      <c r="E22" s="29"/>
      <c r="F22" s="71"/>
      <c r="G22" s="76"/>
      <c r="H22" s="77"/>
      <c r="I22" s="77"/>
    </row>
    <row r="23" spans="1:15" ht="14.25" customHeight="1" x14ac:dyDescent="0.25">
      <c r="A23" s="74" t="s">
        <v>104</v>
      </c>
      <c r="B23" s="75"/>
      <c r="C23" s="34">
        <v>169670.61</v>
      </c>
      <c r="D23" s="34">
        <v>803755.02</v>
      </c>
      <c r="E23" s="29"/>
      <c r="F23" s="71"/>
      <c r="G23" s="76"/>
      <c r="H23" s="77"/>
      <c r="I23" s="77"/>
    </row>
    <row r="24" spans="1:15" ht="14.25" customHeight="1" x14ac:dyDescent="0.25">
      <c r="A24" s="74" t="s">
        <v>105</v>
      </c>
      <c r="B24" s="75"/>
      <c r="C24" s="34">
        <f>1418478379.08-46179.52</f>
        <v>1418432199.5599999</v>
      </c>
      <c r="D24" s="34">
        <f>436394230.62-45883.5</f>
        <v>436348347.12</v>
      </c>
      <c r="E24" s="29"/>
      <c r="F24" s="71"/>
      <c r="G24" s="76"/>
      <c r="H24" s="77"/>
      <c r="I24" s="77"/>
    </row>
    <row r="25" spans="1:15" x14ac:dyDescent="0.25">
      <c r="A25" s="74" t="s">
        <v>106</v>
      </c>
      <c r="B25" s="75"/>
      <c r="C25" s="34">
        <v>0</v>
      </c>
      <c r="D25" s="34">
        <v>0</v>
      </c>
      <c r="E25" s="29"/>
      <c r="F25" s="71"/>
      <c r="G25" s="76"/>
      <c r="H25" s="77"/>
      <c r="I25" s="77"/>
    </row>
    <row r="26" spans="1:15" ht="14.25" customHeight="1" x14ac:dyDescent="0.25">
      <c r="A26" s="82" t="s">
        <v>107</v>
      </c>
      <c r="B26" s="83"/>
      <c r="C26" s="32">
        <f>C8-C15</f>
        <v>14831246146.189999</v>
      </c>
      <c r="D26" s="32">
        <f>D8-D15</f>
        <v>15404023109.309996</v>
      </c>
      <c r="E26" s="29"/>
      <c r="F26" s="71"/>
      <c r="G26" s="72"/>
      <c r="H26" s="73"/>
      <c r="I26" s="73"/>
    </row>
    <row r="27" spans="1:15" ht="14.25" customHeight="1" x14ac:dyDescent="0.25">
      <c r="A27" s="82" t="s">
        <v>108</v>
      </c>
      <c r="B27" s="83"/>
      <c r="C27" s="32">
        <f>SUM(C28:C30)</f>
        <v>766069602.6099999</v>
      </c>
      <c r="D27" s="32">
        <f>SUM(D28:D30)</f>
        <v>798830847.1500001</v>
      </c>
      <c r="E27" s="29"/>
      <c r="F27" s="71"/>
      <c r="G27" s="72"/>
      <c r="H27" s="73"/>
      <c r="I27" s="73"/>
    </row>
    <row r="28" spans="1:15" ht="14.25" customHeight="1" x14ac:dyDescent="0.25">
      <c r="A28" s="74" t="s">
        <v>109</v>
      </c>
      <c r="B28" s="75"/>
      <c r="C28" s="34">
        <v>307608294.63</v>
      </c>
      <c r="D28" s="34">
        <v>373013387.35000002</v>
      </c>
      <c r="E28" s="29"/>
      <c r="F28" s="71"/>
      <c r="G28" s="76"/>
      <c r="H28" s="77"/>
      <c r="I28" s="77"/>
    </row>
    <row r="29" spans="1:15" x14ac:dyDescent="0.25">
      <c r="A29" s="74" t="s">
        <v>110</v>
      </c>
      <c r="B29" s="75"/>
      <c r="C29" s="34">
        <v>684942.08</v>
      </c>
      <c r="D29" s="34">
        <v>1257024.68</v>
      </c>
      <c r="E29" s="29"/>
      <c r="F29" s="71"/>
      <c r="G29" s="80"/>
      <c r="H29" s="81"/>
      <c r="I29" s="81"/>
    </row>
    <row r="30" spans="1:15" x14ac:dyDescent="0.25">
      <c r="A30" s="74" t="s">
        <v>111</v>
      </c>
      <c r="B30" s="75"/>
      <c r="C30" s="34">
        <v>457776365.89999998</v>
      </c>
      <c r="D30" s="34">
        <v>424560435.12</v>
      </c>
      <c r="E30" s="29"/>
      <c r="F30" s="71"/>
      <c r="G30" s="76"/>
      <c r="H30" s="77"/>
      <c r="I30" s="77"/>
    </row>
    <row r="31" spans="1:15" x14ac:dyDescent="0.25">
      <c r="A31" s="82" t="s">
        <v>112</v>
      </c>
      <c r="B31" s="83"/>
      <c r="C31" s="32">
        <f>SUM(C32:C33)</f>
        <v>621554964.23000002</v>
      </c>
      <c r="D31" s="32">
        <f>SUM(D32:D33)</f>
        <v>692302163.88</v>
      </c>
      <c r="E31" s="29"/>
      <c r="F31" s="71"/>
      <c r="G31" s="72"/>
      <c r="H31" s="73"/>
      <c r="I31" s="73"/>
    </row>
    <row r="32" spans="1:15" ht="47.25" customHeight="1" x14ac:dyDescent="0.25">
      <c r="A32" s="74" t="s">
        <v>113</v>
      </c>
      <c r="B32" s="75"/>
      <c r="C32" s="34">
        <v>0</v>
      </c>
      <c r="D32" s="34">
        <v>0</v>
      </c>
      <c r="E32" s="29"/>
      <c r="F32" s="71"/>
      <c r="G32" s="76"/>
      <c r="H32" s="77"/>
      <c r="I32" s="77"/>
    </row>
    <row r="33" spans="1:9" x14ac:dyDescent="0.25">
      <c r="A33" s="74" t="s">
        <v>114</v>
      </c>
      <c r="B33" s="75"/>
      <c r="C33" s="34">
        <f>621723030.53-168066.3</f>
        <v>621554964.23000002</v>
      </c>
      <c r="D33" s="34">
        <f>692467746.25-165582.37</f>
        <v>692302163.88</v>
      </c>
      <c r="E33" s="29"/>
      <c r="F33" s="71"/>
      <c r="G33" s="76"/>
      <c r="H33" s="77"/>
      <c r="I33" s="77"/>
    </row>
    <row r="34" spans="1:9" ht="14.25" customHeight="1" x14ac:dyDescent="0.25">
      <c r="A34" s="82" t="s">
        <v>115</v>
      </c>
      <c r="B34" s="83"/>
      <c r="C34" s="32">
        <f>C26+C27-C31</f>
        <v>14975760784.57</v>
      </c>
      <c r="D34" s="32">
        <f>D26+D27-D31</f>
        <v>15510551792.579996</v>
      </c>
      <c r="E34" s="29"/>
      <c r="F34" s="71"/>
      <c r="G34" s="72"/>
      <c r="H34" s="73"/>
      <c r="I34" s="73"/>
    </row>
    <row r="35" spans="1:9" x14ac:dyDescent="0.25">
      <c r="A35" s="82" t="s">
        <v>116</v>
      </c>
      <c r="B35" s="83"/>
      <c r="C35" s="32">
        <f>SUM(C36:C38)</f>
        <v>534503153.39000005</v>
      </c>
      <c r="D35" s="32">
        <f>SUM(D36:D38)</f>
        <v>625471314.72000003</v>
      </c>
      <c r="E35" s="29"/>
      <c r="F35" s="71"/>
      <c r="G35" s="72"/>
      <c r="H35" s="73"/>
      <c r="I35" s="73"/>
    </row>
    <row r="36" spans="1:9" x14ac:dyDescent="0.25">
      <c r="A36" s="74" t="s">
        <v>117</v>
      </c>
      <c r="B36" s="75"/>
      <c r="C36" s="34">
        <v>203988.1</v>
      </c>
      <c r="D36" s="34">
        <v>253758.2</v>
      </c>
      <c r="E36" s="29"/>
      <c r="F36" s="71"/>
      <c r="G36" s="76"/>
      <c r="H36" s="77"/>
      <c r="I36" s="77"/>
    </row>
    <row r="37" spans="1:9" x14ac:dyDescent="0.25">
      <c r="A37" s="74" t="s">
        <v>118</v>
      </c>
      <c r="B37" s="75"/>
      <c r="C37" s="34">
        <v>383951308.97000003</v>
      </c>
      <c r="D37" s="34">
        <v>521671061.81999999</v>
      </c>
      <c r="E37" s="29"/>
      <c r="F37" s="71"/>
      <c r="G37" s="76"/>
      <c r="H37" s="77"/>
      <c r="I37" s="77"/>
    </row>
    <row r="38" spans="1:9" x14ac:dyDescent="0.25">
      <c r="A38" s="74" t="s">
        <v>119</v>
      </c>
      <c r="B38" s="75"/>
      <c r="C38" s="34">
        <v>150347856.31999999</v>
      </c>
      <c r="D38" s="34">
        <v>103546494.7</v>
      </c>
      <c r="E38" s="29"/>
      <c r="F38" s="71"/>
      <c r="G38" s="76"/>
      <c r="H38" s="77"/>
      <c r="I38" s="77"/>
    </row>
    <row r="39" spans="1:9" x14ac:dyDescent="0.25">
      <c r="A39" s="82" t="s">
        <v>120</v>
      </c>
      <c r="B39" s="83"/>
      <c r="C39" s="32">
        <f>SUM(C40:C41)</f>
        <v>854036641.41999996</v>
      </c>
      <c r="D39" s="32">
        <f>SUM(D40:D41)</f>
        <v>1155430093.95</v>
      </c>
      <c r="E39" s="29"/>
      <c r="F39" s="71"/>
      <c r="G39" s="72"/>
      <c r="H39" s="73"/>
      <c r="I39" s="73"/>
    </row>
    <row r="40" spans="1:9" x14ac:dyDescent="0.25">
      <c r="A40" s="74" t="s">
        <v>121</v>
      </c>
      <c r="B40" s="75"/>
      <c r="C40" s="34">
        <v>185021567.25999999</v>
      </c>
      <c r="D40" s="34">
        <f>179561180.94-566.19</f>
        <v>179560614.75</v>
      </c>
      <c r="E40" s="29"/>
      <c r="F40" s="71"/>
      <c r="G40" s="76"/>
      <c r="H40" s="77"/>
      <c r="I40" s="77"/>
    </row>
    <row r="41" spans="1:9" x14ac:dyDescent="0.25">
      <c r="A41" s="74" t="s">
        <v>122</v>
      </c>
      <c r="B41" s="75"/>
      <c r="C41" s="34">
        <v>669015074.15999997</v>
      </c>
      <c r="D41" s="34">
        <v>975869479.20000005</v>
      </c>
      <c r="E41" s="29"/>
      <c r="F41" s="71"/>
      <c r="G41" s="76"/>
      <c r="H41" s="77"/>
      <c r="I41" s="77"/>
    </row>
    <row r="42" spans="1:9" ht="14.25" customHeight="1" x14ac:dyDescent="0.25">
      <c r="A42" s="82" t="s">
        <v>123</v>
      </c>
      <c r="B42" s="83"/>
      <c r="C42" s="32">
        <f>C34+C35-C39</f>
        <v>14656227296.539999</v>
      </c>
      <c r="D42" s="32">
        <f>D34+D35-D39</f>
        <v>14980593013.349995</v>
      </c>
      <c r="E42" s="29"/>
      <c r="F42" s="71"/>
      <c r="G42" s="72"/>
      <c r="H42" s="73"/>
      <c r="I42" s="73"/>
    </row>
    <row r="43" spans="1:9" x14ac:dyDescent="0.25">
      <c r="A43" s="82" t="s">
        <v>124</v>
      </c>
      <c r="B43" s="83"/>
      <c r="C43" s="34">
        <v>0</v>
      </c>
      <c r="D43" s="34">
        <v>0</v>
      </c>
      <c r="E43" s="29"/>
      <c r="F43" s="71"/>
      <c r="G43" s="76"/>
      <c r="H43" s="77"/>
      <c r="I43" s="77"/>
    </row>
    <row r="44" spans="1:9" ht="28.5" customHeight="1" thickBot="1" x14ac:dyDescent="0.3">
      <c r="A44" s="84" t="s">
        <v>125</v>
      </c>
      <c r="B44" s="85"/>
      <c r="C44" s="86">
        <v>0</v>
      </c>
      <c r="D44" s="86">
        <v>0</v>
      </c>
      <c r="E44" s="29"/>
      <c r="F44" s="71"/>
      <c r="G44" s="80"/>
      <c r="H44" s="81"/>
      <c r="I44" s="73"/>
    </row>
    <row r="45" spans="1:9" ht="15.75" thickBot="1" x14ac:dyDescent="0.3">
      <c r="A45" s="87" t="s">
        <v>126</v>
      </c>
      <c r="B45" s="88"/>
      <c r="C45" s="45">
        <f>C42-C43-C44</f>
        <v>14656227296.539999</v>
      </c>
      <c r="D45" s="45">
        <f>D42-D43-D44</f>
        <v>14980593013.349995</v>
      </c>
      <c r="E45" s="29"/>
      <c r="F45" s="71"/>
      <c r="G45" s="29">
        <f>D45-'[1]Bilans 31.12.2023'!F10</f>
        <v>0</v>
      </c>
      <c r="H45" s="73"/>
      <c r="I45" s="73"/>
    </row>
    <row r="46" spans="1:9" x14ac:dyDescent="0.25">
      <c r="A46" s="46"/>
      <c r="B46" s="46"/>
      <c r="C46" s="46"/>
      <c r="D46" s="46"/>
      <c r="E46" s="29"/>
    </row>
    <row r="47" spans="1:9" x14ac:dyDescent="0.25">
      <c r="A47" s="53"/>
      <c r="B47" s="53"/>
      <c r="C47" s="53"/>
      <c r="D47" s="53"/>
    </row>
    <row r="48" spans="1:9" x14ac:dyDescent="0.25">
      <c r="A48" s="53"/>
      <c r="B48" s="52">
        <v>45425</v>
      </c>
      <c r="C48" s="52"/>
      <c r="D48" s="53"/>
    </row>
    <row r="49" spans="1:4" x14ac:dyDescent="0.25">
      <c r="A49" s="53"/>
      <c r="B49" s="54" t="s">
        <v>127</v>
      </c>
      <c r="C49" s="54"/>
      <c r="D49" s="53"/>
    </row>
    <row r="50" spans="1:4" x14ac:dyDescent="0.25">
      <c r="A50" s="53" t="s">
        <v>128</v>
      </c>
      <c r="B50" s="53"/>
      <c r="C50" s="53"/>
      <c r="D50" s="53" t="s">
        <v>129</v>
      </c>
    </row>
    <row r="51" spans="1:4" x14ac:dyDescent="0.25">
      <c r="A51" s="53" t="s">
        <v>81</v>
      </c>
      <c r="B51" s="53"/>
      <c r="C51" s="53"/>
      <c r="D51" s="53" t="s">
        <v>82</v>
      </c>
    </row>
    <row r="53" spans="1:4" x14ac:dyDescent="0.25">
      <c r="A53" s="89"/>
      <c r="C53" s="29">
        <f>C45-'[1]Bilans 31.12.2023'!E10</f>
        <v>0</v>
      </c>
      <c r="D53" s="29">
        <f>D45-'[1]Bilans 31.12.2023'!F10</f>
        <v>0</v>
      </c>
    </row>
    <row r="56" spans="1:4" x14ac:dyDescent="0.25">
      <c r="A56" s="30"/>
    </row>
    <row r="57" spans="1:4" x14ac:dyDescent="0.25">
      <c r="A57" s="30"/>
    </row>
  </sheetData>
  <mergeCells count="51">
    <mergeCell ref="A46:D46"/>
    <mergeCell ref="B48:C48"/>
    <mergeCell ref="B49:C49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M10:M12"/>
    <mergeCell ref="A11:B11"/>
    <mergeCell ref="A12:B12"/>
    <mergeCell ref="A13:B13"/>
    <mergeCell ref="A14:B14"/>
    <mergeCell ref="A15:B15"/>
    <mergeCell ref="B5:C6"/>
    <mergeCell ref="A7:B7"/>
    <mergeCell ref="A8:B8"/>
    <mergeCell ref="A9:B9"/>
    <mergeCell ref="A10:B10"/>
    <mergeCell ref="J10:K10"/>
    <mergeCell ref="A1:A4"/>
    <mergeCell ref="B1:C1"/>
    <mergeCell ref="D1:D4"/>
    <mergeCell ref="B2:C2"/>
    <mergeCell ref="B3:C3"/>
    <mergeCell ref="B4:C4"/>
  </mergeCells>
  <pageMargins left="0.31496062992125984" right="0.31496062992125984" top="0.35433070866141736" bottom="0.35433070866141736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topLeftCell="A19" zoomScaleNormal="100" workbookViewId="0">
      <selection activeCell="E46" sqref="E46"/>
    </sheetView>
  </sheetViews>
  <sheetFormatPr defaultColWidth="9.140625" defaultRowHeight="15" x14ac:dyDescent="0.25"/>
  <cols>
    <col min="1" max="1" width="32.5703125" style="8" customWidth="1"/>
    <col min="2" max="2" width="29.85546875" style="8" customWidth="1"/>
    <col min="3" max="3" width="24" style="8" customWidth="1"/>
    <col min="4" max="4" width="23.28515625" style="8" customWidth="1"/>
    <col min="5" max="6" width="17" style="50" bestFit="1" customWidth="1"/>
    <col min="7" max="7" width="17" style="7" bestFit="1" customWidth="1"/>
    <col min="8" max="8" width="9.140625" style="50"/>
    <col min="9" max="16384" width="9.140625" style="8"/>
  </cols>
  <sheetData>
    <row r="1" spans="1:7" ht="13.9" customHeight="1" x14ac:dyDescent="0.25">
      <c r="A1" s="1" t="s">
        <v>130</v>
      </c>
      <c r="B1" s="90" t="s">
        <v>131</v>
      </c>
      <c r="C1" s="91"/>
      <c r="D1" s="1" t="s">
        <v>132</v>
      </c>
    </row>
    <row r="2" spans="1:7" x14ac:dyDescent="0.25">
      <c r="A2" s="9"/>
      <c r="B2" s="92"/>
      <c r="C2" s="93"/>
      <c r="D2" s="9"/>
    </row>
    <row r="3" spans="1:7" ht="60" customHeight="1" x14ac:dyDescent="0.25">
      <c r="A3" s="9"/>
      <c r="B3" s="94" t="s">
        <v>133</v>
      </c>
      <c r="C3" s="95"/>
      <c r="D3" s="9"/>
    </row>
    <row r="4" spans="1:7" x14ac:dyDescent="0.25">
      <c r="A4" s="15" t="s">
        <v>3</v>
      </c>
      <c r="B4" s="16" t="s">
        <v>4</v>
      </c>
      <c r="C4" s="18"/>
      <c r="D4" s="96"/>
    </row>
    <row r="5" spans="1:7" ht="15.75" thickBot="1" x14ac:dyDescent="0.3">
      <c r="A5" s="20" t="s">
        <v>5</v>
      </c>
      <c r="B5" s="21"/>
      <c r="C5" s="23"/>
      <c r="D5" s="97"/>
    </row>
    <row r="6" spans="1:7" ht="30.75" thickBot="1" x14ac:dyDescent="0.3">
      <c r="A6" s="64"/>
      <c r="B6" s="65"/>
      <c r="C6" s="26" t="s">
        <v>87</v>
      </c>
      <c r="D6" s="66" t="s">
        <v>88</v>
      </c>
    </row>
    <row r="7" spans="1:7" x14ac:dyDescent="0.25">
      <c r="A7" s="68" t="s">
        <v>134</v>
      </c>
      <c r="B7" s="69"/>
      <c r="C7" s="70">
        <v>2033160088.25</v>
      </c>
      <c r="D7" s="70">
        <v>2217296800.8400002</v>
      </c>
      <c r="E7" s="71"/>
      <c r="F7" s="71"/>
      <c r="G7" s="29"/>
    </row>
    <row r="8" spans="1:7" x14ac:dyDescent="0.25">
      <c r="A8" s="82" t="s">
        <v>135</v>
      </c>
      <c r="B8" s="83"/>
      <c r="C8" s="32">
        <f>SUM(C9:C18)</f>
        <v>24156407558.18</v>
      </c>
      <c r="D8" s="32">
        <f>SUM(D9:D18)</f>
        <v>26684897717.530003</v>
      </c>
      <c r="E8" s="71"/>
      <c r="F8" s="71"/>
      <c r="G8" s="29"/>
    </row>
    <row r="9" spans="1:7" x14ac:dyDescent="0.25">
      <c r="A9" s="74" t="s">
        <v>136</v>
      </c>
      <c r="B9" s="75"/>
      <c r="C9" s="34">
        <f>16696151599.08-2681319616.73</f>
        <v>14014831982.35</v>
      </c>
      <c r="D9" s="34">
        <f>16454288263.04-1798060966.5</f>
        <v>14656227296.540001</v>
      </c>
      <c r="E9" s="71"/>
      <c r="F9" s="71"/>
      <c r="G9" s="29"/>
    </row>
    <row r="10" spans="1:7" x14ac:dyDescent="0.25">
      <c r="A10" s="74" t="s">
        <v>137</v>
      </c>
      <c r="B10" s="75"/>
      <c r="C10" s="34">
        <v>8948009397.8999996</v>
      </c>
      <c r="D10" s="34">
        <v>9860211510.8700008</v>
      </c>
      <c r="E10" s="71"/>
      <c r="F10" s="71"/>
      <c r="G10" s="29"/>
    </row>
    <row r="11" spans="1:7" x14ac:dyDescent="0.25">
      <c r="A11" s="74" t="s">
        <v>138</v>
      </c>
      <c r="B11" s="75"/>
      <c r="C11" s="34">
        <v>0</v>
      </c>
      <c r="D11" s="34">
        <v>0</v>
      </c>
      <c r="E11" s="71"/>
      <c r="F11" s="71"/>
      <c r="G11" s="29"/>
    </row>
    <row r="12" spans="1:7" x14ac:dyDescent="0.25">
      <c r="A12" s="74" t="s">
        <v>139</v>
      </c>
      <c r="B12" s="75"/>
      <c r="C12" s="34">
        <v>388546551.56999999</v>
      </c>
      <c r="D12" s="34">
        <v>1041895716.54</v>
      </c>
      <c r="E12" s="71"/>
      <c r="F12" s="71"/>
      <c r="G12" s="29"/>
    </row>
    <row r="13" spans="1:7" x14ac:dyDescent="0.25">
      <c r="A13" s="74" t="s">
        <v>140</v>
      </c>
      <c r="B13" s="75"/>
      <c r="C13" s="34">
        <v>0</v>
      </c>
      <c r="D13" s="34">
        <v>0</v>
      </c>
      <c r="E13" s="71"/>
      <c r="F13" s="71"/>
      <c r="G13" s="29"/>
    </row>
    <row r="14" spans="1:7" ht="27" customHeight="1" x14ac:dyDescent="0.25">
      <c r="A14" s="74" t="s">
        <v>141</v>
      </c>
      <c r="B14" s="75"/>
      <c r="C14" s="34">
        <f>88127222.35-23147078.71</f>
        <v>64980143.639999993</v>
      </c>
      <c r="D14" s="34">
        <f>61264936.91-16359504.16</f>
        <v>44905432.75</v>
      </c>
      <c r="E14" s="71"/>
      <c r="F14" s="71"/>
      <c r="G14" s="29"/>
    </row>
    <row r="15" spans="1:7" ht="28.5" customHeight="1" x14ac:dyDescent="0.25">
      <c r="A15" s="74" t="s">
        <v>142</v>
      </c>
      <c r="B15" s="75"/>
      <c r="C15" s="34">
        <v>0</v>
      </c>
      <c r="D15" s="34">
        <v>0</v>
      </c>
      <c r="E15" s="71"/>
      <c r="F15" s="71"/>
      <c r="G15" s="29"/>
    </row>
    <row r="16" spans="1:7" x14ac:dyDescent="0.25">
      <c r="A16" s="74" t="s">
        <v>143</v>
      </c>
      <c r="B16" s="75"/>
      <c r="C16" s="34">
        <f>821926.87-798494.53</f>
        <v>23432.339999999967</v>
      </c>
      <c r="D16" s="34">
        <f>1074008.94-1053864</f>
        <v>20144.939999999944</v>
      </c>
      <c r="E16" s="71"/>
      <c r="F16" s="71"/>
      <c r="G16" s="29"/>
    </row>
    <row r="17" spans="1:7" x14ac:dyDescent="0.25">
      <c r="A17" s="74" t="s">
        <v>144</v>
      </c>
      <c r="B17" s="75"/>
      <c r="C17" s="34">
        <v>0</v>
      </c>
      <c r="D17" s="34">
        <v>0</v>
      </c>
      <c r="E17" s="71"/>
      <c r="F17" s="71"/>
      <c r="G17" s="29"/>
    </row>
    <row r="18" spans="1:7" x14ac:dyDescent="0.25">
      <c r="A18" s="74" t="s">
        <v>145</v>
      </c>
      <c r="B18" s="75"/>
      <c r="C18" s="34">
        <f>740036016.8-19966.42</f>
        <v>740016050.38</v>
      </c>
      <c r="D18" s="34">
        <f>1083356825.46-1719209.57</f>
        <v>1081637615.8900001</v>
      </c>
      <c r="E18" s="71"/>
      <c r="F18" s="71"/>
      <c r="G18" s="29"/>
    </row>
    <row r="19" spans="1:7" x14ac:dyDescent="0.25">
      <c r="A19" s="82" t="s">
        <v>146</v>
      </c>
      <c r="B19" s="83"/>
      <c r="C19" s="32">
        <f>SUM(C20:C28)</f>
        <v>23972270845.589996</v>
      </c>
      <c r="D19" s="32">
        <f>SUM(D20:D28)</f>
        <v>25371405169.890003</v>
      </c>
      <c r="E19" s="71"/>
      <c r="F19" s="71"/>
      <c r="G19" s="29"/>
    </row>
    <row r="20" spans="1:7" x14ac:dyDescent="0.25">
      <c r="A20" s="74" t="s">
        <v>147</v>
      </c>
      <c r="B20" s="75"/>
      <c r="C20" s="34">
        <f>2681319616.73-2681319616.73</f>
        <v>0</v>
      </c>
      <c r="D20" s="34">
        <f>1798060966.5-1798060966.5</f>
        <v>0</v>
      </c>
      <c r="E20" s="71"/>
      <c r="F20" s="71"/>
      <c r="G20" s="29"/>
    </row>
    <row r="21" spans="1:7" x14ac:dyDescent="0.25">
      <c r="A21" s="74" t="s">
        <v>148</v>
      </c>
      <c r="B21" s="75"/>
      <c r="C21" s="34">
        <v>19230623661.77</v>
      </c>
      <c r="D21" s="34">
        <v>18985167924.009998</v>
      </c>
      <c r="E21" s="71"/>
      <c r="F21" s="71"/>
      <c r="G21" s="29"/>
    </row>
    <row r="22" spans="1:7" x14ac:dyDescent="0.25">
      <c r="A22" s="74" t="s">
        <v>149</v>
      </c>
      <c r="B22" s="75"/>
      <c r="C22" s="34">
        <v>0</v>
      </c>
      <c r="D22" s="34">
        <v>0</v>
      </c>
      <c r="E22" s="71"/>
      <c r="F22" s="71"/>
      <c r="G22" s="29"/>
    </row>
    <row r="23" spans="1:7" x14ac:dyDescent="0.25">
      <c r="A23" s="74" t="s">
        <v>150</v>
      </c>
      <c r="B23" s="75"/>
      <c r="C23" s="34">
        <v>3880394890.25</v>
      </c>
      <c r="D23" s="34">
        <v>5403390333.2399998</v>
      </c>
      <c r="E23" s="71"/>
      <c r="F23" s="71"/>
      <c r="G23" s="29"/>
    </row>
    <row r="24" spans="1:7" x14ac:dyDescent="0.25">
      <c r="A24" s="74" t="s">
        <v>151</v>
      </c>
      <c r="B24" s="75"/>
      <c r="C24" s="34">
        <v>0</v>
      </c>
      <c r="D24" s="34">
        <v>0</v>
      </c>
      <c r="E24" s="71"/>
      <c r="F24" s="71"/>
      <c r="G24" s="29"/>
    </row>
    <row r="25" spans="1:7" ht="49.5" customHeight="1" x14ac:dyDescent="0.25">
      <c r="A25" s="74" t="s">
        <v>152</v>
      </c>
      <c r="B25" s="75"/>
      <c r="C25" s="34">
        <f>367744309.13-23147078.71</f>
        <v>344597230.42000002</v>
      </c>
      <c r="D25" s="34">
        <f>169869947.93-16359504.16</f>
        <v>153510443.77000001</v>
      </c>
      <c r="E25" s="71"/>
      <c r="F25" s="71"/>
      <c r="G25" s="29"/>
    </row>
    <row r="26" spans="1:7" ht="24.75" customHeight="1" x14ac:dyDescent="0.25">
      <c r="A26" s="74" t="s">
        <v>153</v>
      </c>
      <c r="B26" s="75"/>
      <c r="C26" s="34">
        <v>0</v>
      </c>
      <c r="D26" s="34">
        <v>6395.11</v>
      </c>
      <c r="E26" s="71"/>
      <c r="F26" s="71"/>
      <c r="G26" s="29"/>
    </row>
    <row r="27" spans="1:7" x14ac:dyDescent="0.25">
      <c r="A27" s="74" t="s">
        <v>154</v>
      </c>
      <c r="B27" s="75"/>
      <c r="C27" s="34">
        <f>1866346.33-798494.53</f>
        <v>1067851.8</v>
      </c>
      <c r="D27" s="34">
        <f>2379597.24-1053864</f>
        <v>1325733.2400000002</v>
      </c>
      <c r="E27" s="71"/>
      <c r="F27" s="71"/>
      <c r="G27" s="29"/>
    </row>
    <row r="28" spans="1:7" x14ac:dyDescent="0.25">
      <c r="A28" s="74" t="s">
        <v>155</v>
      </c>
      <c r="B28" s="75"/>
      <c r="C28" s="34">
        <f>515607177.77-19966.42</f>
        <v>515587211.34999996</v>
      </c>
      <c r="D28" s="34">
        <f>829723550.09-1719209.57</f>
        <v>828004340.51999998</v>
      </c>
      <c r="E28" s="71"/>
      <c r="F28" s="71"/>
      <c r="G28" s="29"/>
    </row>
    <row r="29" spans="1:7" x14ac:dyDescent="0.25">
      <c r="A29" s="82" t="s">
        <v>156</v>
      </c>
      <c r="B29" s="83"/>
      <c r="C29" s="32">
        <f>C7+C8-C19</f>
        <v>2217296800.840004</v>
      </c>
      <c r="D29" s="32">
        <f>D7+D8-D19</f>
        <v>3530789348.4799995</v>
      </c>
      <c r="E29" s="71"/>
      <c r="F29" s="71"/>
      <c r="G29" s="29">
        <f>D29-'[1]Bilans 31.12.2023'!F9</f>
        <v>0</v>
      </c>
    </row>
    <row r="30" spans="1:7" x14ac:dyDescent="0.25">
      <c r="A30" s="82" t="s">
        <v>157</v>
      </c>
      <c r="B30" s="83"/>
      <c r="C30" s="32">
        <f>C31+C32-C33</f>
        <v>14656227296.540001</v>
      </c>
      <c r="D30" s="32">
        <f>D31+D32-D33</f>
        <v>14980593013.35</v>
      </c>
      <c r="E30" s="71"/>
      <c r="F30" s="71"/>
      <c r="G30" s="29">
        <f>D30-'[1]RZiS 31.12.2023'!D45</f>
        <v>0</v>
      </c>
    </row>
    <row r="31" spans="1:7" x14ac:dyDescent="0.25">
      <c r="A31" s="74" t="s">
        <v>158</v>
      </c>
      <c r="B31" s="75"/>
      <c r="C31" s="34">
        <f>16454288263.04-1798060966.5</f>
        <v>14656227296.540001</v>
      </c>
      <c r="D31" s="34">
        <f>16073138418.7-1092545405.35</f>
        <v>14980593013.35</v>
      </c>
      <c r="E31" s="71"/>
      <c r="F31" s="71"/>
      <c r="G31" s="29"/>
    </row>
    <row r="32" spans="1:7" x14ac:dyDescent="0.25">
      <c r="A32" s="74" t="s">
        <v>159</v>
      </c>
      <c r="B32" s="75"/>
      <c r="C32" s="34">
        <f>-1798060966.5+1798060966.5</f>
        <v>0</v>
      </c>
      <c r="D32" s="34">
        <f>-1092545405.35+1092545405.35</f>
        <v>0</v>
      </c>
      <c r="E32" s="71"/>
      <c r="F32" s="71"/>
      <c r="G32" s="29"/>
    </row>
    <row r="33" spans="1:7" ht="15.75" thickBot="1" x14ac:dyDescent="0.3">
      <c r="A33" s="98" t="s">
        <v>160</v>
      </c>
      <c r="B33" s="99"/>
      <c r="C33" s="86">
        <v>0</v>
      </c>
      <c r="D33" s="86">
        <v>0</v>
      </c>
      <c r="E33" s="71"/>
      <c r="F33" s="71"/>
      <c r="G33" s="29"/>
    </row>
    <row r="34" spans="1:7" ht="15.75" thickBot="1" x14ac:dyDescent="0.3">
      <c r="A34" s="87" t="s">
        <v>161</v>
      </c>
      <c r="B34" s="88"/>
      <c r="C34" s="45">
        <f>C29+C30</f>
        <v>16873524097.380005</v>
      </c>
      <c r="D34" s="45">
        <f>D29+D30</f>
        <v>18511382361.830002</v>
      </c>
      <c r="E34" s="71"/>
      <c r="F34" s="71"/>
      <c r="G34" s="29"/>
    </row>
    <row r="35" spans="1:7" x14ac:dyDescent="0.25">
      <c r="A35" s="100"/>
      <c r="B35" s="100"/>
      <c r="C35" s="101"/>
      <c r="D35" s="101"/>
    </row>
    <row r="36" spans="1:7" x14ac:dyDescent="0.25">
      <c r="A36" s="100"/>
      <c r="B36" s="100"/>
      <c r="C36" s="100"/>
      <c r="D36" s="100"/>
    </row>
    <row r="37" spans="1:7" x14ac:dyDescent="0.25">
      <c r="A37" s="46"/>
      <c r="B37" s="46"/>
      <c r="C37" s="46"/>
      <c r="D37" s="46"/>
    </row>
    <row r="38" spans="1:7" x14ac:dyDescent="0.25">
      <c r="A38" s="53"/>
      <c r="B38" s="53"/>
      <c r="C38" s="53"/>
      <c r="D38" s="53"/>
    </row>
    <row r="39" spans="1:7" x14ac:dyDescent="0.25">
      <c r="A39" s="53"/>
      <c r="B39" s="52">
        <v>45425</v>
      </c>
      <c r="C39" s="52"/>
      <c r="D39" s="53"/>
    </row>
    <row r="40" spans="1:7" x14ac:dyDescent="0.25">
      <c r="A40" s="53"/>
      <c r="B40" s="54" t="s">
        <v>127</v>
      </c>
      <c r="C40" s="54"/>
      <c r="D40" s="53"/>
    </row>
    <row r="41" spans="1:7" ht="30" x14ac:dyDescent="0.25">
      <c r="A41" s="53" t="s">
        <v>162</v>
      </c>
      <c r="B41" s="53"/>
      <c r="C41" s="53"/>
      <c r="D41" s="53" t="s">
        <v>80</v>
      </c>
    </row>
    <row r="42" spans="1:7" x14ac:dyDescent="0.25">
      <c r="A42" s="53" t="s">
        <v>81</v>
      </c>
      <c r="B42" s="53"/>
      <c r="C42" s="53"/>
      <c r="D42" s="53" t="s">
        <v>82</v>
      </c>
    </row>
    <row r="45" spans="1:7" x14ac:dyDescent="0.25">
      <c r="A45" s="56"/>
    </row>
    <row r="48" spans="1:7" x14ac:dyDescent="0.25">
      <c r="A48" s="57"/>
    </row>
  </sheetData>
  <mergeCells count="41">
    <mergeCell ref="C35:D35"/>
    <mergeCell ref="A36:D36"/>
    <mergeCell ref="A37:D37"/>
    <mergeCell ref="B39:C39"/>
    <mergeCell ref="B40:C40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6:B6"/>
    <mergeCell ref="A7:B7"/>
    <mergeCell ref="A8:B8"/>
    <mergeCell ref="A9:B9"/>
    <mergeCell ref="A10:B10"/>
    <mergeCell ref="A11:B11"/>
    <mergeCell ref="A1:A3"/>
    <mergeCell ref="B1:C2"/>
    <mergeCell ref="D1:D3"/>
    <mergeCell ref="B3:C3"/>
    <mergeCell ref="B4:C5"/>
    <mergeCell ref="D4:D5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91"/>
  <sheetViews>
    <sheetView view="pageLayout" topLeftCell="A674" zoomScaleNormal="100" workbookViewId="0">
      <selection activeCell="C689" sqref="C689:D689"/>
    </sheetView>
  </sheetViews>
  <sheetFormatPr defaultRowHeight="12.75" x14ac:dyDescent="0.25"/>
  <cols>
    <col min="1" max="1" width="22.85546875" style="102" customWidth="1"/>
    <col min="2" max="2" width="21.28515625" style="102" customWidth="1"/>
    <col min="3" max="3" width="19" style="102" customWidth="1"/>
    <col min="4" max="4" width="18" style="102" customWidth="1"/>
    <col min="5" max="5" width="19.7109375" style="102" customWidth="1"/>
    <col min="6" max="6" width="16.140625" style="102" customWidth="1"/>
    <col min="7" max="7" width="16.42578125" style="102" customWidth="1"/>
    <col min="8" max="8" width="14.85546875" style="102" customWidth="1"/>
    <col min="9" max="9" width="16.140625" style="102" customWidth="1"/>
    <col min="10" max="10" width="33" style="102" customWidth="1"/>
    <col min="11" max="11" width="18.28515625" style="102" customWidth="1"/>
    <col min="12" max="256" width="9.140625" style="102"/>
    <col min="257" max="257" width="22.85546875" style="102" customWidth="1"/>
    <col min="258" max="258" width="19.140625" style="102" customWidth="1"/>
    <col min="259" max="259" width="20" style="102" customWidth="1"/>
    <col min="260" max="260" width="18" style="102" customWidth="1"/>
    <col min="261" max="261" width="19.7109375" style="102" customWidth="1"/>
    <col min="262" max="262" width="16.140625" style="102" customWidth="1"/>
    <col min="263" max="263" width="16.42578125" style="102" customWidth="1"/>
    <col min="264" max="264" width="12.140625" style="102" customWidth="1"/>
    <col min="265" max="265" width="13.140625" style="102" customWidth="1"/>
    <col min="266" max="266" width="13.7109375" style="102" customWidth="1"/>
    <col min="267" max="267" width="18.28515625" style="102" customWidth="1"/>
    <col min="268" max="512" width="9.140625" style="102"/>
    <col min="513" max="513" width="22.85546875" style="102" customWidth="1"/>
    <col min="514" max="514" width="19.140625" style="102" customWidth="1"/>
    <col min="515" max="515" width="20" style="102" customWidth="1"/>
    <col min="516" max="516" width="18" style="102" customWidth="1"/>
    <col min="517" max="517" width="19.7109375" style="102" customWidth="1"/>
    <col min="518" max="518" width="16.140625" style="102" customWidth="1"/>
    <col min="519" max="519" width="16.42578125" style="102" customWidth="1"/>
    <col min="520" max="520" width="12.140625" style="102" customWidth="1"/>
    <col min="521" max="521" width="13.140625" style="102" customWidth="1"/>
    <col min="522" max="522" width="13.7109375" style="102" customWidth="1"/>
    <col min="523" max="523" width="18.28515625" style="102" customWidth="1"/>
    <col min="524" max="768" width="9.140625" style="102"/>
    <col min="769" max="769" width="22.85546875" style="102" customWidth="1"/>
    <col min="770" max="770" width="19.140625" style="102" customWidth="1"/>
    <col min="771" max="771" width="20" style="102" customWidth="1"/>
    <col min="772" max="772" width="18" style="102" customWidth="1"/>
    <col min="773" max="773" width="19.7109375" style="102" customWidth="1"/>
    <col min="774" max="774" width="16.140625" style="102" customWidth="1"/>
    <col min="775" max="775" width="16.42578125" style="102" customWidth="1"/>
    <col min="776" max="776" width="12.140625" style="102" customWidth="1"/>
    <col min="777" max="777" width="13.140625" style="102" customWidth="1"/>
    <col min="778" max="778" width="13.7109375" style="102" customWidth="1"/>
    <col min="779" max="779" width="18.28515625" style="102" customWidth="1"/>
    <col min="780" max="1024" width="9.140625" style="102"/>
    <col min="1025" max="1025" width="22.85546875" style="102" customWidth="1"/>
    <col min="1026" max="1026" width="19.140625" style="102" customWidth="1"/>
    <col min="1027" max="1027" width="20" style="102" customWidth="1"/>
    <col min="1028" max="1028" width="18" style="102" customWidth="1"/>
    <col min="1029" max="1029" width="19.7109375" style="102" customWidth="1"/>
    <col min="1030" max="1030" width="16.140625" style="102" customWidth="1"/>
    <col min="1031" max="1031" width="16.42578125" style="102" customWidth="1"/>
    <col min="1032" max="1032" width="12.140625" style="102" customWidth="1"/>
    <col min="1033" max="1033" width="13.140625" style="102" customWidth="1"/>
    <col min="1034" max="1034" width="13.7109375" style="102" customWidth="1"/>
    <col min="1035" max="1035" width="18.28515625" style="102" customWidth="1"/>
    <col min="1036" max="1280" width="9.140625" style="102"/>
    <col min="1281" max="1281" width="22.85546875" style="102" customWidth="1"/>
    <col min="1282" max="1282" width="19.140625" style="102" customWidth="1"/>
    <col min="1283" max="1283" width="20" style="102" customWidth="1"/>
    <col min="1284" max="1284" width="18" style="102" customWidth="1"/>
    <col min="1285" max="1285" width="19.7109375" style="102" customWidth="1"/>
    <col min="1286" max="1286" width="16.140625" style="102" customWidth="1"/>
    <col min="1287" max="1287" width="16.42578125" style="102" customWidth="1"/>
    <col min="1288" max="1288" width="12.140625" style="102" customWidth="1"/>
    <col min="1289" max="1289" width="13.140625" style="102" customWidth="1"/>
    <col min="1290" max="1290" width="13.7109375" style="102" customWidth="1"/>
    <col min="1291" max="1291" width="18.28515625" style="102" customWidth="1"/>
    <col min="1292" max="1536" width="9.140625" style="102"/>
    <col min="1537" max="1537" width="22.85546875" style="102" customWidth="1"/>
    <col min="1538" max="1538" width="19.140625" style="102" customWidth="1"/>
    <col min="1539" max="1539" width="20" style="102" customWidth="1"/>
    <col min="1540" max="1540" width="18" style="102" customWidth="1"/>
    <col min="1541" max="1541" width="19.7109375" style="102" customWidth="1"/>
    <col min="1542" max="1542" width="16.140625" style="102" customWidth="1"/>
    <col min="1543" max="1543" width="16.42578125" style="102" customWidth="1"/>
    <col min="1544" max="1544" width="12.140625" style="102" customWidth="1"/>
    <col min="1545" max="1545" width="13.140625" style="102" customWidth="1"/>
    <col min="1546" max="1546" width="13.7109375" style="102" customWidth="1"/>
    <col min="1547" max="1547" width="18.28515625" style="102" customWidth="1"/>
    <col min="1548" max="1792" width="9.140625" style="102"/>
    <col min="1793" max="1793" width="22.85546875" style="102" customWidth="1"/>
    <col min="1794" max="1794" width="19.140625" style="102" customWidth="1"/>
    <col min="1795" max="1795" width="20" style="102" customWidth="1"/>
    <col min="1796" max="1796" width="18" style="102" customWidth="1"/>
    <col min="1797" max="1797" width="19.7109375" style="102" customWidth="1"/>
    <col min="1798" max="1798" width="16.140625" style="102" customWidth="1"/>
    <col min="1799" max="1799" width="16.42578125" style="102" customWidth="1"/>
    <col min="1800" max="1800" width="12.140625" style="102" customWidth="1"/>
    <col min="1801" max="1801" width="13.140625" style="102" customWidth="1"/>
    <col min="1802" max="1802" width="13.7109375" style="102" customWidth="1"/>
    <col min="1803" max="1803" width="18.28515625" style="102" customWidth="1"/>
    <col min="1804" max="2048" width="9.140625" style="102"/>
    <col min="2049" max="2049" width="22.85546875" style="102" customWidth="1"/>
    <col min="2050" max="2050" width="19.140625" style="102" customWidth="1"/>
    <col min="2051" max="2051" width="20" style="102" customWidth="1"/>
    <col min="2052" max="2052" width="18" style="102" customWidth="1"/>
    <col min="2053" max="2053" width="19.7109375" style="102" customWidth="1"/>
    <col min="2054" max="2054" width="16.140625" style="102" customWidth="1"/>
    <col min="2055" max="2055" width="16.42578125" style="102" customWidth="1"/>
    <col min="2056" max="2056" width="12.140625" style="102" customWidth="1"/>
    <col min="2057" max="2057" width="13.140625" style="102" customWidth="1"/>
    <col min="2058" max="2058" width="13.7109375" style="102" customWidth="1"/>
    <col min="2059" max="2059" width="18.28515625" style="102" customWidth="1"/>
    <col min="2060" max="2304" width="9.140625" style="102"/>
    <col min="2305" max="2305" width="22.85546875" style="102" customWidth="1"/>
    <col min="2306" max="2306" width="19.140625" style="102" customWidth="1"/>
    <col min="2307" max="2307" width="20" style="102" customWidth="1"/>
    <col min="2308" max="2308" width="18" style="102" customWidth="1"/>
    <col min="2309" max="2309" width="19.7109375" style="102" customWidth="1"/>
    <col min="2310" max="2310" width="16.140625" style="102" customWidth="1"/>
    <col min="2311" max="2311" width="16.42578125" style="102" customWidth="1"/>
    <col min="2312" max="2312" width="12.140625" style="102" customWidth="1"/>
    <col min="2313" max="2313" width="13.140625" style="102" customWidth="1"/>
    <col min="2314" max="2314" width="13.7109375" style="102" customWidth="1"/>
    <col min="2315" max="2315" width="18.28515625" style="102" customWidth="1"/>
    <col min="2316" max="2560" width="9.140625" style="102"/>
    <col min="2561" max="2561" width="22.85546875" style="102" customWidth="1"/>
    <col min="2562" max="2562" width="19.140625" style="102" customWidth="1"/>
    <col min="2563" max="2563" width="20" style="102" customWidth="1"/>
    <col min="2564" max="2564" width="18" style="102" customWidth="1"/>
    <col min="2565" max="2565" width="19.7109375" style="102" customWidth="1"/>
    <col min="2566" max="2566" width="16.140625" style="102" customWidth="1"/>
    <col min="2567" max="2567" width="16.42578125" style="102" customWidth="1"/>
    <col min="2568" max="2568" width="12.140625" style="102" customWidth="1"/>
    <col min="2569" max="2569" width="13.140625" style="102" customWidth="1"/>
    <col min="2570" max="2570" width="13.7109375" style="102" customWidth="1"/>
    <col min="2571" max="2571" width="18.28515625" style="102" customWidth="1"/>
    <col min="2572" max="2816" width="9.140625" style="102"/>
    <col min="2817" max="2817" width="22.85546875" style="102" customWidth="1"/>
    <col min="2818" max="2818" width="19.140625" style="102" customWidth="1"/>
    <col min="2819" max="2819" width="20" style="102" customWidth="1"/>
    <col min="2820" max="2820" width="18" style="102" customWidth="1"/>
    <col min="2821" max="2821" width="19.7109375" style="102" customWidth="1"/>
    <col min="2822" max="2822" width="16.140625" style="102" customWidth="1"/>
    <col min="2823" max="2823" width="16.42578125" style="102" customWidth="1"/>
    <col min="2824" max="2824" width="12.140625" style="102" customWidth="1"/>
    <col min="2825" max="2825" width="13.140625" style="102" customWidth="1"/>
    <col min="2826" max="2826" width="13.7109375" style="102" customWidth="1"/>
    <col min="2827" max="2827" width="18.28515625" style="102" customWidth="1"/>
    <col min="2828" max="3072" width="9.140625" style="102"/>
    <col min="3073" max="3073" width="22.85546875" style="102" customWidth="1"/>
    <col min="3074" max="3074" width="19.140625" style="102" customWidth="1"/>
    <col min="3075" max="3075" width="20" style="102" customWidth="1"/>
    <col min="3076" max="3076" width="18" style="102" customWidth="1"/>
    <col min="3077" max="3077" width="19.7109375" style="102" customWidth="1"/>
    <col min="3078" max="3078" width="16.140625" style="102" customWidth="1"/>
    <col min="3079" max="3079" width="16.42578125" style="102" customWidth="1"/>
    <col min="3080" max="3080" width="12.140625" style="102" customWidth="1"/>
    <col min="3081" max="3081" width="13.140625" style="102" customWidth="1"/>
    <col min="3082" max="3082" width="13.7109375" style="102" customWidth="1"/>
    <col min="3083" max="3083" width="18.28515625" style="102" customWidth="1"/>
    <col min="3084" max="3328" width="9.140625" style="102"/>
    <col min="3329" max="3329" width="22.85546875" style="102" customWidth="1"/>
    <col min="3330" max="3330" width="19.140625" style="102" customWidth="1"/>
    <col min="3331" max="3331" width="20" style="102" customWidth="1"/>
    <col min="3332" max="3332" width="18" style="102" customWidth="1"/>
    <col min="3333" max="3333" width="19.7109375" style="102" customWidth="1"/>
    <col min="3334" max="3334" width="16.140625" style="102" customWidth="1"/>
    <col min="3335" max="3335" width="16.42578125" style="102" customWidth="1"/>
    <col min="3336" max="3336" width="12.140625" style="102" customWidth="1"/>
    <col min="3337" max="3337" width="13.140625" style="102" customWidth="1"/>
    <col min="3338" max="3338" width="13.7109375" style="102" customWidth="1"/>
    <col min="3339" max="3339" width="18.28515625" style="102" customWidth="1"/>
    <col min="3340" max="3584" width="9.140625" style="102"/>
    <col min="3585" max="3585" width="22.85546875" style="102" customWidth="1"/>
    <col min="3586" max="3586" width="19.140625" style="102" customWidth="1"/>
    <col min="3587" max="3587" width="20" style="102" customWidth="1"/>
    <col min="3588" max="3588" width="18" style="102" customWidth="1"/>
    <col min="3589" max="3589" width="19.7109375" style="102" customWidth="1"/>
    <col min="3590" max="3590" width="16.140625" style="102" customWidth="1"/>
    <col min="3591" max="3591" width="16.42578125" style="102" customWidth="1"/>
    <col min="3592" max="3592" width="12.140625" style="102" customWidth="1"/>
    <col min="3593" max="3593" width="13.140625" style="102" customWidth="1"/>
    <col min="3594" max="3594" width="13.7109375" style="102" customWidth="1"/>
    <col min="3595" max="3595" width="18.28515625" style="102" customWidth="1"/>
    <col min="3596" max="3840" width="9.140625" style="102"/>
    <col min="3841" max="3841" width="22.85546875" style="102" customWidth="1"/>
    <col min="3842" max="3842" width="19.140625" style="102" customWidth="1"/>
    <col min="3843" max="3843" width="20" style="102" customWidth="1"/>
    <col min="3844" max="3844" width="18" style="102" customWidth="1"/>
    <col min="3845" max="3845" width="19.7109375" style="102" customWidth="1"/>
    <col min="3846" max="3846" width="16.140625" style="102" customWidth="1"/>
    <col min="3847" max="3847" width="16.42578125" style="102" customWidth="1"/>
    <col min="3848" max="3848" width="12.140625" style="102" customWidth="1"/>
    <col min="3849" max="3849" width="13.140625" style="102" customWidth="1"/>
    <col min="3850" max="3850" width="13.7109375" style="102" customWidth="1"/>
    <col min="3851" max="3851" width="18.28515625" style="102" customWidth="1"/>
    <col min="3852" max="4096" width="9.140625" style="102"/>
    <col min="4097" max="4097" width="22.85546875" style="102" customWidth="1"/>
    <col min="4098" max="4098" width="19.140625" style="102" customWidth="1"/>
    <col min="4099" max="4099" width="20" style="102" customWidth="1"/>
    <col min="4100" max="4100" width="18" style="102" customWidth="1"/>
    <col min="4101" max="4101" width="19.7109375" style="102" customWidth="1"/>
    <col min="4102" max="4102" width="16.140625" style="102" customWidth="1"/>
    <col min="4103" max="4103" width="16.42578125" style="102" customWidth="1"/>
    <col min="4104" max="4104" width="12.140625" style="102" customWidth="1"/>
    <col min="4105" max="4105" width="13.140625" style="102" customWidth="1"/>
    <col min="4106" max="4106" width="13.7109375" style="102" customWidth="1"/>
    <col min="4107" max="4107" width="18.28515625" style="102" customWidth="1"/>
    <col min="4108" max="4352" width="9.140625" style="102"/>
    <col min="4353" max="4353" width="22.85546875" style="102" customWidth="1"/>
    <col min="4354" max="4354" width="19.140625" style="102" customWidth="1"/>
    <col min="4355" max="4355" width="20" style="102" customWidth="1"/>
    <col min="4356" max="4356" width="18" style="102" customWidth="1"/>
    <col min="4357" max="4357" width="19.7109375" style="102" customWidth="1"/>
    <col min="4358" max="4358" width="16.140625" style="102" customWidth="1"/>
    <col min="4359" max="4359" width="16.42578125" style="102" customWidth="1"/>
    <col min="4360" max="4360" width="12.140625" style="102" customWidth="1"/>
    <col min="4361" max="4361" width="13.140625" style="102" customWidth="1"/>
    <col min="4362" max="4362" width="13.7109375" style="102" customWidth="1"/>
    <col min="4363" max="4363" width="18.28515625" style="102" customWidth="1"/>
    <col min="4364" max="4608" width="9.140625" style="102"/>
    <col min="4609" max="4609" width="22.85546875" style="102" customWidth="1"/>
    <col min="4610" max="4610" width="19.140625" style="102" customWidth="1"/>
    <col min="4611" max="4611" width="20" style="102" customWidth="1"/>
    <col min="4612" max="4612" width="18" style="102" customWidth="1"/>
    <col min="4613" max="4613" width="19.7109375" style="102" customWidth="1"/>
    <col min="4614" max="4614" width="16.140625" style="102" customWidth="1"/>
    <col min="4615" max="4615" width="16.42578125" style="102" customWidth="1"/>
    <col min="4616" max="4616" width="12.140625" style="102" customWidth="1"/>
    <col min="4617" max="4617" width="13.140625" style="102" customWidth="1"/>
    <col min="4618" max="4618" width="13.7109375" style="102" customWidth="1"/>
    <col min="4619" max="4619" width="18.28515625" style="102" customWidth="1"/>
    <col min="4620" max="4864" width="9.140625" style="102"/>
    <col min="4865" max="4865" width="22.85546875" style="102" customWidth="1"/>
    <col min="4866" max="4866" width="19.140625" style="102" customWidth="1"/>
    <col min="4867" max="4867" width="20" style="102" customWidth="1"/>
    <col min="4868" max="4868" width="18" style="102" customWidth="1"/>
    <col min="4869" max="4869" width="19.7109375" style="102" customWidth="1"/>
    <col min="4870" max="4870" width="16.140625" style="102" customWidth="1"/>
    <col min="4871" max="4871" width="16.42578125" style="102" customWidth="1"/>
    <col min="4872" max="4872" width="12.140625" style="102" customWidth="1"/>
    <col min="4873" max="4873" width="13.140625" style="102" customWidth="1"/>
    <col min="4874" max="4874" width="13.7109375" style="102" customWidth="1"/>
    <col min="4875" max="4875" width="18.28515625" style="102" customWidth="1"/>
    <col min="4876" max="5120" width="9.140625" style="102"/>
    <col min="5121" max="5121" width="22.85546875" style="102" customWidth="1"/>
    <col min="5122" max="5122" width="19.140625" style="102" customWidth="1"/>
    <col min="5123" max="5123" width="20" style="102" customWidth="1"/>
    <col min="5124" max="5124" width="18" style="102" customWidth="1"/>
    <col min="5125" max="5125" width="19.7109375" style="102" customWidth="1"/>
    <col min="5126" max="5126" width="16.140625" style="102" customWidth="1"/>
    <col min="5127" max="5127" width="16.42578125" style="102" customWidth="1"/>
    <col min="5128" max="5128" width="12.140625" style="102" customWidth="1"/>
    <col min="5129" max="5129" width="13.140625" style="102" customWidth="1"/>
    <col min="5130" max="5130" width="13.7109375" style="102" customWidth="1"/>
    <col min="5131" max="5131" width="18.28515625" style="102" customWidth="1"/>
    <col min="5132" max="5376" width="9.140625" style="102"/>
    <col min="5377" max="5377" width="22.85546875" style="102" customWidth="1"/>
    <col min="5378" max="5378" width="19.140625" style="102" customWidth="1"/>
    <col min="5379" max="5379" width="20" style="102" customWidth="1"/>
    <col min="5380" max="5380" width="18" style="102" customWidth="1"/>
    <col min="5381" max="5381" width="19.7109375" style="102" customWidth="1"/>
    <col min="5382" max="5382" width="16.140625" style="102" customWidth="1"/>
    <col min="5383" max="5383" width="16.42578125" style="102" customWidth="1"/>
    <col min="5384" max="5384" width="12.140625" style="102" customWidth="1"/>
    <col min="5385" max="5385" width="13.140625" style="102" customWidth="1"/>
    <col min="5386" max="5386" width="13.7109375" style="102" customWidth="1"/>
    <col min="5387" max="5387" width="18.28515625" style="102" customWidth="1"/>
    <col min="5388" max="5632" width="9.140625" style="102"/>
    <col min="5633" max="5633" width="22.85546875" style="102" customWidth="1"/>
    <col min="5634" max="5634" width="19.140625" style="102" customWidth="1"/>
    <col min="5635" max="5635" width="20" style="102" customWidth="1"/>
    <col min="5636" max="5636" width="18" style="102" customWidth="1"/>
    <col min="5637" max="5637" width="19.7109375" style="102" customWidth="1"/>
    <col min="5638" max="5638" width="16.140625" style="102" customWidth="1"/>
    <col min="5639" max="5639" width="16.42578125" style="102" customWidth="1"/>
    <col min="5640" max="5640" width="12.140625" style="102" customWidth="1"/>
    <col min="5641" max="5641" width="13.140625" style="102" customWidth="1"/>
    <col min="5642" max="5642" width="13.7109375" style="102" customWidth="1"/>
    <col min="5643" max="5643" width="18.28515625" style="102" customWidth="1"/>
    <col min="5644" max="5888" width="9.140625" style="102"/>
    <col min="5889" max="5889" width="22.85546875" style="102" customWidth="1"/>
    <col min="5890" max="5890" width="19.140625" style="102" customWidth="1"/>
    <col min="5891" max="5891" width="20" style="102" customWidth="1"/>
    <col min="5892" max="5892" width="18" style="102" customWidth="1"/>
    <col min="5893" max="5893" width="19.7109375" style="102" customWidth="1"/>
    <col min="5894" max="5894" width="16.140625" style="102" customWidth="1"/>
    <col min="5895" max="5895" width="16.42578125" style="102" customWidth="1"/>
    <col min="5896" max="5896" width="12.140625" style="102" customWidth="1"/>
    <col min="5897" max="5897" width="13.140625" style="102" customWidth="1"/>
    <col min="5898" max="5898" width="13.7109375" style="102" customWidth="1"/>
    <col min="5899" max="5899" width="18.28515625" style="102" customWidth="1"/>
    <col min="5900" max="6144" width="9.140625" style="102"/>
    <col min="6145" max="6145" width="22.85546875" style="102" customWidth="1"/>
    <col min="6146" max="6146" width="19.140625" style="102" customWidth="1"/>
    <col min="6147" max="6147" width="20" style="102" customWidth="1"/>
    <col min="6148" max="6148" width="18" style="102" customWidth="1"/>
    <col min="6149" max="6149" width="19.7109375" style="102" customWidth="1"/>
    <col min="6150" max="6150" width="16.140625" style="102" customWidth="1"/>
    <col min="6151" max="6151" width="16.42578125" style="102" customWidth="1"/>
    <col min="6152" max="6152" width="12.140625" style="102" customWidth="1"/>
    <col min="6153" max="6153" width="13.140625" style="102" customWidth="1"/>
    <col min="6154" max="6154" width="13.7109375" style="102" customWidth="1"/>
    <col min="6155" max="6155" width="18.28515625" style="102" customWidth="1"/>
    <col min="6156" max="6400" width="9.140625" style="102"/>
    <col min="6401" max="6401" width="22.85546875" style="102" customWidth="1"/>
    <col min="6402" max="6402" width="19.140625" style="102" customWidth="1"/>
    <col min="6403" max="6403" width="20" style="102" customWidth="1"/>
    <col min="6404" max="6404" width="18" style="102" customWidth="1"/>
    <col min="6405" max="6405" width="19.7109375" style="102" customWidth="1"/>
    <col min="6406" max="6406" width="16.140625" style="102" customWidth="1"/>
    <col min="6407" max="6407" width="16.42578125" style="102" customWidth="1"/>
    <col min="6408" max="6408" width="12.140625" style="102" customWidth="1"/>
    <col min="6409" max="6409" width="13.140625" style="102" customWidth="1"/>
    <col min="6410" max="6410" width="13.7109375" style="102" customWidth="1"/>
    <col min="6411" max="6411" width="18.28515625" style="102" customWidth="1"/>
    <col min="6412" max="6656" width="9.140625" style="102"/>
    <col min="6657" max="6657" width="22.85546875" style="102" customWidth="1"/>
    <col min="6658" max="6658" width="19.140625" style="102" customWidth="1"/>
    <col min="6659" max="6659" width="20" style="102" customWidth="1"/>
    <col min="6660" max="6660" width="18" style="102" customWidth="1"/>
    <col min="6661" max="6661" width="19.7109375" style="102" customWidth="1"/>
    <col min="6662" max="6662" width="16.140625" style="102" customWidth="1"/>
    <col min="6663" max="6663" width="16.42578125" style="102" customWidth="1"/>
    <col min="6664" max="6664" width="12.140625" style="102" customWidth="1"/>
    <col min="6665" max="6665" width="13.140625" style="102" customWidth="1"/>
    <col min="6666" max="6666" width="13.7109375" style="102" customWidth="1"/>
    <col min="6667" max="6667" width="18.28515625" style="102" customWidth="1"/>
    <col min="6668" max="6912" width="9.140625" style="102"/>
    <col min="6913" max="6913" width="22.85546875" style="102" customWidth="1"/>
    <col min="6914" max="6914" width="19.140625" style="102" customWidth="1"/>
    <col min="6915" max="6915" width="20" style="102" customWidth="1"/>
    <col min="6916" max="6916" width="18" style="102" customWidth="1"/>
    <col min="6917" max="6917" width="19.7109375" style="102" customWidth="1"/>
    <col min="6918" max="6918" width="16.140625" style="102" customWidth="1"/>
    <col min="6919" max="6919" width="16.42578125" style="102" customWidth="1"/>
    <col min="6920" max="6920" width="12.140625" style="102" customWidth="1"/>
    <col min="6921" max="6921" width="13.140625" style="102" customWidth="1"/>
    <col min="6922" max="6922" width="13.7109375" style="102" customWidth="1"/>
    <col min="6923" max="6923" width="18.28515625" style="102" customWidth="1"/>
    <col min="6924" max="7168" width="9.140625" style="102"/>
    <col min="7169" max="7169" width="22.85546875" style="102" customWidth="1"/>
    <col min="7170" max="7170" width="19.140625" style="102" customWidth="1"/>
    <col min="7171" max="7171" width="20" style="102" customWidth="1"/>
    <col min="7172" max="7172" width="18" style="102" customWidth="1"/>
    <col min="7173" max="7173" width="19.7109375" style="102" customWidth="1"/>
    <col min="7174" max="7174" width="16.140625" style="102" customWidth="1"/>
    <col min="7175" max="7175" width="16.42578125" style="102" customWidth="1"/>
    <col min="7176" max="7176" width="12.140625" style="102" customWidth="1"/>
    <col min="7177" max="7177" width="13.140625" style="102" customWidth="1"/>
    <col min="7178" max="7178" width="13.7109375" style="102" customWidth="1"/>
    <col min="7179" max="7179" width="18.28515625" style="102" customWidth="1"/>
    <col min="7180" max="7424" width="9.140625" style="102"/>
    <col min="7425" max="7425" width="22.85546875" style="102" customWidth="1"/>
    <col min="7426" max="7426" width="19.140625" style="102" customWidth="1"/>
    <col min="7427" max="7427" width="20" style="102" customWidth="1"/>
    <col min="7428" max="7428" width="18" style="102" customWidth="1"/>
    <col min="7429" max="7429" width="19.7109375" style="102" customWidth="1"/>
    <col min="7430" max="7430" width="16.140625" style="102" customWidth="1"/>
    <col min="7431" max="7431" width="16.42578125" style="102" customWidth="1"/>
    <col min="7432" max="7432" width="12.140625" style="102" customWidth="1"/>
    <col min="7433" max="7433" width="13.140625" style="102" customWidth="1"/>
    <col min="7434" max="7434" width="13.7109375" style="102" customWidth="1"/>
    <col min="7435" max="7435" width="18.28515625" style="102" customWidth="1"/>
    <col min="7436" max="7680" width="9.140625" style="102"/>
    <col min="7681" max="7681" width="22.85546875" style="102" customWidth="1"/>
    <col min="7682" max="7682" width="19.140625" style="102" customWidth="1"/>
    <col min="7683" max="7683" width="20" style="102" customWidth="1"/>
    <col min="7684" max="7684" width="18" style="102" customWidth="1"/>
    <col min="7685" max="7685" width="19.7109375" style="102" customWidth="1"/>
    <col min="7686" max="7686" width="16.140625" style="102" customWidth="1"/>
    <col min="7687" max="7687" width="16.42578125" style="102" customWidth="1"/>
    <col min="7688" max="7688" width="12.140625" style="102" customWidth="1"/>
    <col min="7689" max="7689" width="13.140625" style="102" customWidth="1"/>
    <col min="7690" max="7690" width="13.7109375" style="102" customWidth="1"/>
    <col min="7691" max="7691" width="18.28515625" style="102" customWidth="1"/>
    <col min="7692" max="7936" width="9.140625" style="102"/>
    <col min="7937" max="7937" width="22.85546875" style="102" customWidth="1"/>
    <col min="7938" max="7938" width="19.140625" style="102" customWidth="1"/>
    <col min="7939" max="7939" width="20" style="102" customWidth="1"/>
    <col min="7940" max="7940" width="18" style="102" customWidth="1"/>
    <col min="7941" max="7941" width="19.7109375" style="102" customWidth="1"/>
    <col min="7942" max="7942" width="16.140625" style="102" customWidth="1"/>
    <col min="7943" max="7943" width="16.42578125" style="102" customWidth="1"/>
    <col min="7944" max="7944" width="12.140625" style="102" customWidth="1"/>
    <col min="7945" max="7945" width="13.140625" style="102" customWidth="1"/>
    <col min="7946" max="7946" width="13.7109375" style="102" customWidth="1"/>
    <col min="7947" max="7947" width="18.28515625" style="102" customWidth="1"/>
    <col min="7948" max="8192" width="9.140625" style="102"/>
    <col min="8193" max="8193" width="22.85546875" style="102" customWidth="1"/>
    <col min="8194" max="8194" width="19.140625" style="102" customWidth="1"/>
    <col min="8195" max="8195" width="20" style="102" customWidth="1"/>
    <col min="8196" max="8196" width="18" style="102" customWidth="1"/>
    <col min="8197" max="8197" width="19.7109375" style="102" customWidth="1"/>
    <col min="8198" max="8198" width="16.140625" style="102" customWidth="1"/>
    <col min="8199" max="8199" width="16.42578125" style="102" customWidth="1"/>
    <col min="8200" max="8200" width="12.140625" style="102" customWidth="1"/>
    <col min="8201" max="8201" width="13.140625" style="102" customWidth="1"/>
    <col min="8202" max="8202" width="13.7109375" style="102" customWidth="1"/>
    <col min="8203" max="8203" width="18.28515625" style="102" customWidth="1"/>
    <col min="8204" max="8448" width="9.140625" style="102"/>
    <col min="8449" max="8449" width="22.85546875" style="102" customWidth="1"/>
    <col min="8450" max="8450" width="19.140625" style="102" customWidth="1"/>
    <col min="8451" max="8451" width="20" style="102" customWidth="1"/>
    <col min="8452" max="8452" width="18" style="102" customWidth="1"/>
    <col min="8453" max="8453" width="19.7109375" style="102" customWidth="1"/>
    <col min="8454" max="8454" width="16.140625" style="102" customWidth="1"/>
    <col min="8455" max="8455" width="16.42578125" style="102" customWidth="1"/>
    <col min="8456" max="8456" width="12.140625" style="102" customWidth="1"/>
    <col min="8457" max="8457" width="13.140625" style="102" customWidth="1"/>
    <col min="8458" max="8458" width="13.7109375" style="102" customWidth="1"/>
    <col min="8459" max="8459" width="18.28515625" style="102" customWidth="1"/>
    <col min="8460" max="8704" width="9.140625" style="102"/>
    <col min="8705" max="8705" width="22.85546875" style="102" customWidth="1"/>
    <col min="8706" max="8706" width="19.140625" style="102" customWidth="1"/>
    <col min="8707" max="8707" width="20" style="102" customWidth="1"/>
    <col min="8708" max="8708" width="18" style="102" customWidth="1"/>
    <col min="8709" max="8709" width="19.7109375" style="102" customWidth="1"/>
    <col min="8710" max="8710" width="16.140625" style="102" customWidth="1"/>
    <col min="8711" max="8711" width="16.42578125" style="102" customWidth="1"/>
    <col min="8712" max="8712" width="12.140625" style="102" customWidth="1"/>
    <col min="8713" max="8713" width="13.140625" style="102" customWidth="1"/>
    <col min="8714" max="8714" width="13.7109375" style="102" customWidth="1"/>
    <col min="8715" max="8715" width="18.28515625" style="102" customWidth="1"/>
    <col min="8716" max="8960" width="9.140625" style="102"/>
    <col min="8961" max="8961" width="22.85546875" style="102" customWidth="1"/>
    <col min="8962" max="8962" width="19.140625" style="102" customWidth="1"/>
    <col min="8963" max="8963" width="20" style="102" customWidth="1"/>
    <col min="8964" max="8964" width="18" style="102" customWidth="1"/>
    <col min="8965" max="8965" width="19.7109375" style="102" customWidth="1"/>
    <col min="8966" max="8966" width="16.140625" style="102" customWidth="1"/>
    <col min="8967" max="8967" width="16.42578125" style="102" customWidth="1"/>
    <col min="8968" max="8968" width="12.140625" style="102" customWidth="1"/>
    <col min="8969" max="8969" width="13.140625" style="102" customWidth="1"/>
    <col min="8970" max="8970" width="13.7109375" style="102" customWidth="1"/>
    <col min="8971" max="8971" width="18.28515625" style="102" customWidth="1"/>
    <col min="8972" max="9216" width="9.140625" style="102"/>
    <col min="9217" max="9217" width="22.85546875" style="102" customWidth="1"/>
    <col min="9218" max="9218" width="19.140625" style="102" customWidth="1"/>
    <col min="9219" max="9219" width="20" style="102" customWidth="1"/>
    <col min="9220" max="9220" width="18" style="102" customWidth="1"/>
    <col min="9221" max="9221" width="19.7109375" style="102" customWidth="1"/>
    <col min="9222" max="9222" width="16.140625" style="102" customWidth="1"/>
    <col min="9223" max="9223" width="16.42578125" style="102" customWidth="1"/>
    <col min="9224" max="9224" width="12.140625" style="102" customWidth="1"/>
    <col min="9225" max="9225" width="13.140625" style="102" customWidth="1"/>
    <col min="9226" max="9226" width="13.7109375" style="102" customWidth="1"/>
    <col min="9227" max="9227" width="18.28515625" style="102" customWidth="1"/>
    <col min="9228" max="9472" width="9.140625" style="102"/>
    <col min="9473" max="9473" width="22.85546875" style="102" customWidth="1"/>
    <col min="9474" max="9474" width="19.140625" style="102" customWidth="1"/>
    <col min="9475" max="9475" width="20" style="102" customWidth="1"/>
    <col min="9476" max="9476" width="18" style="102" customWidth="1"/>
    <col min="9477" max="9477" width="19.7109375" style="102" customWidth="1"/>
    <col min="9478" max="9478" width="16.140625" style="102" customWidth="1"/>
    <col min="9479" max="9479" width="16.42578125" style="102" customWidth="1"/>
    <col min="9480" max="9480" width="12.140625" style="102" customWidth="1"/>
    <col min="9481" max="9481" width="13.140625" style="102" customWidth="1"/>
    <col min="9482" max="9482" width="13.7109375" style="102" customWidth="1"/>
    <col min="9483" max="9483" width="18.28515625" style="102" customWidth="1"/>
    <col min="9484" max="9728" width="9.140625" style="102"/>
    <col min="9729" max="9729" width="22.85546875" style="102" customWidth="1"/>
    <col min="9730" max="9730" width="19.140625" style="102" customWidth="1"/>
    <col min="9731" max="9731" width="20" style="102" customWidth="1"/>
    <col min="9732" max="9732" width="18" style="102" customWidth="1"/>
    <col min="9733" max="9733" width="19.7109375" style="102" customWidth="1"/>
    <col min="9734" max="9734" width="16.140625" style="102" customWidth="1"/>
    <col min="9735" max="9735" width="16.42578125" style="102" customWidth="1"/>
    <col min="9736" max="9736" width="12.140625" style="102" customWidth="1"/>
    <col min="9737" max="9737" width="13.140625" style="102" customWidth="1"/>
    <col min="9738" max="9738" width="13.7109375" style="102" customWidth="1"/>
    <col min="9739" max="9739" width="18.28515625" style="102" customWidth="1"/>
    <col min="9740" max="9984" width="9.140625" style="102"/>
    <col min="9985" max="9985" width="22.85546875" style="102" customWidth="1"/>
    <col min="9986" max="9986" width="19.140625" style="102" customWidth="1"/>
    <col min="9987" max="9987" width="20" style="102" customWidth="1"/>
    <col min="9988" max="9988" width="18" style="102" customWidth="1"/>
    <col min="9989" max="9989" width="19.7109375" style="102" customWidth="1"/>
    <col min="9990" max="9990" width="16.140625" style="102" customWidth="1"/>
    <col min="9991" max="9991" width="16.42578125" style="102" customWidth="1"/>
    <col min="9992" max="9992" width="12.140625" style="102" customWidth="1"/>
    <col min="9993" max="9993" width="13.140625" style="102" customWidth="1"/>
    <col min="9994" max="9994" width="13.7109375" style="102" customWidth="1"/>
    <col min="9995" max="9995" width="18.28515625" style="102" customWidth="1"/>
    <col min="9996" max="10240" width="9.140625" style="102"/>
    <col min="10241" max="10241" width="22.85546875" style="102" customWidth="1"/>
    <col min="10242" max="10242" width="19.140625" style="102" customWidth="1"/>
    <col min="10243" max="10243" width="20" style="102" customWidth="1"/>
    <col min="10244" max="10244" width="18" style="102" customWidth="1"/>
    <col min="10245" max="10245" width="19.7109375" style="102" customWidth="1"/>
    <col min="10246" max="10246" width="16.140625" style="102" customWidth="1"/>
    <col min="10247" max="10247" width="16.42578125" style="102" customWidth="1"/>
    <col min="10248" max="10248" width="12.140625" style="102" customWidth="1"/>
    <col min="10249" max="10249" width="13.140625" style="102" customWidth="1"/>
    <col min="10250" max="10250" width="13.7109375" style="102" customWidth="1"/>
    <col min="10251" max="10251" width="18.28515625" style="102" customWidth="1"/>
    <col min="10252" max="10496" width="9.140625" style="102"/>
    <col min="10497" max="10497" width="22.85546875" style="102" customWidth="1"/>
    <col min="10498" max="10498" width="19.140625" style="102" customWidth="1"/>
    <col min="10499" max="10499" width="20" style="102" customWidth="1"/>
    <col min="10500" max="10500" width="18" style="102" customWidth="1"/>
    <col min="10501" max="10501" width="19.7109375" style="102" customWidth="1"/>
    <col min="10502" max="10502" width="16.140625" style="102" customWidth="1"/>
    <col min="10503" max="10503" width="16.42578125" style="102" customWidth="1"/>
    <col min="10504" max="10504" width="12.140625" style="102" customWidth="1"/>
    <col min="10505" max="10505" width="13.140625" style="102" customWidth="1"/>
    <col min="10506" max="10506" width="13.7109375" style="102" customWidth="1"/>
    <col min="10507" max="10507" width="18.28515625" style="102" customWidth="1"/>
    <col min="10508" max="10752" width="9.140625" style="102"/>
    <col min="10753" max="10753" width="22.85546875" style="102" customWidth="1"/>
    <col min="10754" max="10754" width="19.140625" style="102" customWidth="1"/>
    <col min="10755" max="10755" width="20" style="102" customWidth="1"/>
    <col min="10756" max="10756" width="18" style="102" customWidth="1"/>
    <col min="10757" max="10757" width="19.7109375" style="102" customWidth="1"/>
    <col min="10758" max="10758" width="16.140625" style="102" customWidth="1"/>
    <col min="10759" max="10759" width="16.42578125" style="102" customWidth="1"/>
    <col min="10760" max="10760" width="12.140625" style="102" customWidth="1"/>
    <col min="10761" max="10761" width="13.140625" style="102" customWidth="1"/>
    <col min="10762" max="10762" width="13.7109375" style="102" customWidth="1"/>
    <col min="10763" max="10763" width="18.28515625" style="102" customWidth="1"/>
    <col min="10764" max="11008" width="9.140625" style="102"/>
    <col min="11009" max="11009" width="22.85546875" style="102" customWidth="1"/>
    <col min="11010" max="11010" width="19.140625" style="102" customWidth="1"/>
    <col min="11011" max="11011" width="20" style="102" customWidth="1"/>
    <col min="11012" max="11012" width="18" style="102" customWidth="1"/>
    <col min="11013" max="11013" width="19.7109375" style="102" customWidth="1"/>
    <col min="11014" max="11014" width="16.140625" style="102" customWidth="1"/>
    <col min="11015" max="11015" width="16.42578125" style="102" customWidth="1"/>
    <col min="11016" max="11016" width="12.140625" style="102" customWidth="1"/>
    <col min="11017" max="11017" width="13.140625" style="102" customWidth="1"/>
    <col min="11018" max="11018" width="13.7109375" style="102" customWidth="1"/>
    <col min="11019" max="11019" width="18.28515625" style="102" customWidth="1"/>
    <col min="11020" max="11264" width="9.140625" style="102"/>
    <col min="11265" max="11265" width="22.85546875" style="102" customWidth="1"/>
    <col min="11266" max="11266" width="19.140625" style="102" customWidth="1"/>
    <col min="11267" max="11267" width="20" style="102" customWidth="1"/>
    <col min="11268" max="11268" width="18" style="102" customWidth="1"/>
    <col min="11269" max="11269" width="19.7109375" style="102" customWidth="1"/>
    <col min="11270" max="11270" width="16.140625" style="102" customWidth="1"/>
    <col min="11271" max="11271" width="16.42578125" style="102" customWidth="1"/>
    <col min="11272" max="11272" width="12.140625" style="102" customWidth="1"/>
    <col min="11273" max="11273" width="13.140625" style="102" customWidth="1"/>
    <col min="11274" max="11274" width="13.7109375" style="102" customWidth="1"/>
    <col min="11275" max="11275" width="18.28515625" style="102" customWidth="1"/>
    <col min="11276" max="11520" width="9.140625" style="102"/>
    <col min="11521" max="11521" width="22.85546875" style="102" customWidth="1"/>
    <col min="11522" max="11522" width="19.140625" style="102" customWidth="1"/>
    <col min="11523" max="11523" width="20" style="102" customWidth="1"/>
    <col min="11524" max="11524" width="18" style="102" customWidth="1"/>
    <col min="11525" max="11525" width="19.7109375" style="102" customWidth="1"/>
    <col min="11526" max="11526" width="16.140625" style="102" customWidth="1"/>
    <col min="11527" max="11527" width="16.42578125" style="102" customWidth="1"/>
    <col min="11528" max="11528" width="12.140625" style="102" customWidth="1"/>
    <col min="11529" max="11529" width="13.140625" style="102" customWidth="1"/>
    <col min="11530" max="11530" width="13.7109375" style="102" customWidth="1"/>
    <col min="11531" max="11531" width="18.28515625" style="102" customWidth="1"/>
    <col min="11532" max="11776" width="9.140625" style="102"/>
    <col min="11777" max="11777" width="22.85546875" style="102" customWidth="1"/>
    <col min="11778" max="11778" width="19.140625" style="102" customWidth="1"/>
    <col min="11779" max="11779" width="20" style="102" customWidth="1"/>
    <col min="11780" max="11780" width="18" style="102" customWidth="1"/>
    <col min="11781" max="11781" width="19.7109375" style="102" customWidth="1"/>
    <col min="11782" max="11782" width="16.140625" style="102" customWidth="1"/>
    <col min="11783" max="11783" width="16.42578125" style="102" customWidth="1"/>
    <col min="11784" max="11784" width="12.140625" style="102" customWidth="1"/>
    <col min="11785" max="11785" width="13.140625" style="102" customWidth="1"/>
    <col min="11786" max="11786" width="13.7109375" style="102" customWidth="1"/>
    <col min="11787" max="11787" width="18.28515625" style="102" customWidth="1"/>
    <col min="11788" max="12032" width="9.140625" style="102"/>
    <col min="12033" max="12033" width="22.85546875" style="102" customWidth="1"/>
    <col min="12034" max="12034" width="19.140625" style="102" customWidth="1"/>
    <col min="12035" max="12035" width="20" style="102" customWidth="1"/>
    <col min="12036" max="12036" width="18" style="102" customWidth="1"/>
    <col min="12037" max="12037" width="19.7109375" style="102" customWidth="1"/>
    <col min="12038" max="12038" width="16.140625" style="102" customWidth="1"/>
    <col min="12039" max="12039" width="16.42578125" style="102" customWidth="1"/>
    <col min="12040" max="12040" width="12.140625" style="102" customWidth="1"/>
    <col min="12041" max="12041" width="13.140625" style="102" customWidth="1"/>
    <col min="12042" max="12042" width="13.7109375" style="102" customWidth="1"/>
    <col min="12043" max="12043" width="18.28515625" style="102" customWidth="1"/>
    <col min="12044" max="12288" width="9.140625" style="102"/>
    <col min="12289" max="12289" width="22.85546875" style="102" customWidth="1"/>
    <col min="12290" max="12290" width="19.140625" style="102" customWidth="1"/>
    <col min="12291" max="12291" width="20" style="102" customWidth="1"/>
    <col min="12292" max="12292" width="18" style="102" customWidth="1"/>
    <col min="12293" max="12293" width="19.7109375" style="102" customWidth="1"/>
    <col min="12294" max="12294" width="16.140625" style="102" customWidth="1"/>
    <col min="12295" max="12295" width="16.42578125" style="102" customWidth="1"/>
    <col min="12296" max="12296" width="12.140625" style="102" customWidth="1"/>
    <col min="12297" max="12297" width="13.140625" style="102" customWidth="1"/>
    <col min="12298" max="12298" width="13.7109375" style="102" customWidth="1"/>
    <col min="12299" max="12299" width="18.28515625" style="102" customWidth="1"/>
    <col min="12300" max="12544" width="9.140625" style="102"/>
    <col min="12545" max="12545" width="22.85546875" style="102" customWidth="1"/>
    <col min="12546" max="12546" width="19.140625" style="102" customWidth="1"/>
    <col min="12547" max="12547" width="20" style="102" customWidth="1"/>
    <col min="12548" max="12548" width="18" style="102" customWidth="1"/>
    <col min="12549" max="12549" width="19.7109375" style="102" customWidth="1"/>
    <col min="12550" max="12550" width="16.140625" style="102" customWidth="1"/>
    <col min="12551" max="12551" width="16.42578125" style="102" customWidth="1"/>
    <col min="12552" max="12552" width="12.140625" style="102" customWidth="1"/>
    <col min="12553" max="12553" width="13.140625" style="102" customWidth="1"/>
    <col min="12554" max="12554" width="13.7109375" style="102" customWidth="1"/>
    <col min="12555" max="12555" width="18.28515625" style="102" customWidth="1"/>
    <col min="12556" max="12800" width="9.140625" style="102"/>
    <col min="12801" max="12801" width="22.85546875" style="102" customWidth="1"/>
    <col min="12802" max="12802" width="19.140625" style="102" customWidth="1"/>
    <col min="12803" max="12803" width="20" style="102" customWidth="1"/>
    <col min="12804" max="12804" width="18" style="102" customWidth="1"/>
    <col min="12805" max="12805" width="19.7109375" style="102" customWidth="1"/>
    <col min="12806" max="12806" width="16.140625" style="102" customWidth="1"/>
    <col min="12807" max="12807" width="16.42578125" style="102" customWidth="1"/>
    <col min="12808" max="12808" width="12.140625" style="102" customWidth="1"/>
    <col min="12809" max="12809" width="13.140625" style="102" customWidth="1"/>
    <col min="12810" max="12810" width="13.7109375" style="102" customWidth="1"/>
    <col min="12811" max="12811" width="18.28515625" style="102" customWidth="1"/>
    <col min="12812" max="13056" width="9.140625" style="102"/>
    <col min="13057" max="13057" width="22.85546875" style="102" customWidth="1"/>
    <col min="13058" max="13058" width="19.140625" style="102" customWidth="1"/>
    <col min="13059" max="13059" width="20" style="102" customWidth="1"/>
    <col min="13060" max="13060" width="18" style="102" customWidth="1"/>
    <col min="13061" max="13061" width="19.7109375" style="102" customWidth="1"/>
    <col min="13062" max="13062" width="16.140625" style="102" customWidth="1"/>
    <col min="13063" max="13063" width="16.42578125" style="102" customWidth="1"/>
    <col min="13064" max="13064" width="12.140625" style="102" customWidth="1"/>
    <col min="13065" max="13065" width="13.140625" style="102" customWidth="1"/>
    <col min="13066" max="13066" width="13.7109375" style="102" customWidth="1"/>
    <col min="13067" max="13067" width="18.28515625" style="102" customWidth="1"/>
    <col min="13068" max="13312" width="9.140625" style="102"/>
    <col min="13313" max="13313" width="22.85546875" style="102" customWidth="1"/>
    <col min="13314" max="13314" width="19.140625" style="102" customWidth="1"/>
    <col min="13315" max="13315" width="20" style="102" customWidth="1"/>
    <col min="13316" max="13316" width="18" style="102" customWidth="1"/>
    <col min="13317" max="13317" width="19.7109375" style="102" customWidth="1"/>
    <col min="13318" max="13318" width="16.140625" style="102" customWidth="1"/>
    <col min="13319" max="13319" width="16.42578125" style="102" customWidth="1"/>
    <col min="13320" max="13320" width="12.140625" style="102" customWidth="1"/>
    <col min="13321" max="13321" width="13.140625" style="102" customWidth="1"/>
    <col min="13322" max="13322" width="13.7109375" style="102" customWidth="1"/>
    <col min="13323" max="13323" width="18.28515625" style="102" customWidth="1"/>
    <col min="13324" max="13568" width="9.140625" style="102"/>
    <col min="13569" max="13569" width="22.85546875" style="102" customWidth="1"/>
    <col min="13570" max="13570" width="19.140625" style="102" customWidth="1"/>
    <col min="13571" max="13571" width="20" style="102" customWidth="1"/>
    <col min="13572" max="13572" width="18" style="102" customWidth="1"/>
    <col min="13573" max="13573" width="19.7109375" style="102" customWidth="1"/>
    <col min="13574" max="13574" width="16.140625" style="102" customWidth="1"/>
    <col min="13575" max="13575" width="16.42578125" style="102" customWidth="1"/>
    <col min="13576" max="13576" width="12.140625" style="102" customWidth="1"/>
    <col min="13577" max="13577" width="13.140625" style="102" customWidth="1"/>
    <col min="13578" max="13578" width="13.7109375" style="102" customWidth="1"/>
    <col min="13579" max="13579" width="18.28515625" style="102" customWidth="1"/>
    <col min="13580" max="13824" width="9.140625" style="102"/>
    <col min="13825" max="13825" width="22.85546875" style="102" customWidth="1"/>
    <col min="13826" max="13826" width="19.140625" style="102" customWidth="1"/>
    <col min="13827" max="13827" width="20" style="102" customWidth="1"/>
    <col min="13828" max="13828" width="18" style="102" customWidth="1"/>
    <col min="13829" max="13829" width="19.7109375" style="102" customWidth="1"/>
    <col min="13830" max="13830" width="16.140625" style="102" customWidth="1"/>
    <col min="13831" max="13831" width="16.42578125" style="102" customWidth="1"/>
    <col min="13832" max="13832" width="12.140625" style="102" customWidth="1"/>
    <col min="13833" max="13833" width="13.140625" style="102" customWidth="1"/>
    <col min="13834" max="13834" width="13.7109375" style="102" customWidth="1"/>
    <col min="13835" max="13835" width="18.28515625" style="102" customWidth="1"/>
    <col min="13836" max="14080" width="9.140625" style="102"/>
    <col min="14081" max="14081" width="22.85546875" style="102" customWidth="1"/>
    <col min="14082" max="14082" width="19.140625" style="102" customWidth="1"/>
    <col min="14083" max="14083" width="20" style="102" customWidth="1"/>
    <col min="14084" max="14084" width="18" style="102" customWidth="1"/>
    <col min="14085" max="14085" width="19.7109375" style="102" customWidth="1"/>
    <col min="14086" max="14086" width="16.140625" style="102" customWidth="1"/>
    <col min="14087" max="14087" width="16.42578125" style="102" customWidth="1"/>
    <col min="14088" max="14088" width="12.140625" style="102" customWidth="1"/>
    <col min="14089" max="14089" width="13.140625" style="102" customWidth="1"/>
    <col min="14090" max="14090" width="13.7109375" style="102" customWidth="1"/>
    <col min="14091" max="14091" width="18.28515625" style="102" customWidth="1"/>
    <col min="14092" max="14336" width="9.140625" style="102"/>
    <col min="14337" max="14337" width="22.85546875" style="102" customWidth="1"/>
    <col min="14338" max="14338" width="19.140625" style="102" customWidth="1"/>
    <col min="14339" max="14339" width="20" style="102" customWidth="1"/>
    <col min="14340" max="14340" width="18" style="102" customWidth="1"/>
    <col min="14341" max="14341" width="19.7109375" style="102" customWidth="1"/>
    <col min="14342" max="14342" width="16.140625" style="102" customWidth="1"/>
    <col min="14343" max="14343" width="16.42578125" style="102" customWidth="1"/>
    <col min="14344" max="14344" width="12.140625" style="102" customWidth="1"/>
    <col min="14345" max="14345" width="13.140625" style="102" customWidth="1"/>
    <col min="14346" max="14346" width="13.7109375" style="102" customWidth="1"/>
    <col min="14347" max="14347" width="18.28515625" style="102" customWidth="1"/>
    <col min="14348" max="14592" width="9.140625" style="102"/>
    <col min="14593" max="14593" width="22.85546875" style="102" customWidth="1"/>
    <col min="14594" max="14594" width="19.140625" style="102" customWidth="1"/>
    <col min="14595" max="14595" width="20" style="102" customWidth="1"/>
    <col min="14596" max="14596" width="18" style="102" customWidth="1"/>
    <col min="14597" max="14597" width="19.7109375" style="102" customWidth="1"/>
    <col min="14598" max="14598" width="16.140625" style="102" customWidth="1"/>
    <col min="14599" max="14599" width="16.42578125" style="102" customWidth="1"/>
    <col min="14600" max="14600" width="12.140625" style="102" customWidth="1"/>
    <col min="14601" max="14601" width="13.140625" style="102" customWidth="1"/>
    <col min="14602" max="14602" width="13.7109375" style="102" customWidth="1"/>
    <col min="14603" max="14603" width="18.28515625" style="102" customWidth="1"/>
    <col min="14604" max="14848" width="9.140625" style="102"/>
    <col min="14849" max="14849" width="22.85546875" style="102" customWidth="1"/>
    <col min="14850" max="14850" width="19.140625" style="102" customWidth="1"/>
    <col min="14851" max="14851" width="20" style="102" customWidth="1"/>
    <col min="14852" max="14852" width="18" style="102" customWidth="1"/>
    <col min="14853" max="14853" width="19.7109375" style="102" customWidth="1"/>
    <col min="14854" max="14854" width="16.140625" style="102" customWidth="1"/>
    <col min="14855" max="14855" width="16.42578125" style="102" customWidth="1"/>
    <col min="14856" max="14856" width="12.140625" style="102" customWidth="1"/>
    <col min="14857" max="14857" width="13.140625" style="102" customWidth="1"/>
    <col min="14858" max="14858" width="13.7109375" style="102" customWidth="1"/>
    <col min="14859" max="14859" width="18.28515625" style="102" customWidth="1"/>
    <col min="14860" max="15104" width="9.140625" style="102"/>
    <col min="15105" max="15105" width="22.85546875" style="102" customWidth="1"/>
    <col min="15106" max="15106" width="19.140625" style="102" customWidth="1"/>
    <col min="15107" max="15107" width="20" style="102" customWidth="1"/>
    <col min="15108" max="15108" width="18" style="102" customWidth="1"/>
    <col min="15109" max="15109" width="19.7109375" style="102" customWidth="1"/>
    <col min="15110" max="15110" width="16.140625" style="102" customWidth="1"/>
    <col min="15111" max="15111" width="16.42578125" style="102" customWidth="1"/>
    <col min="15112" max="15112" width="12.140625" style="102" customWidth="1"/>
    <col min="15113" max="15113" width="13.140625" style="102" customWidth="1"/>
    <col min="15114" max="15114" width="13.7109375" style="102" customWidth="1"/>
    <col min="15115" max="15115" width="18.28515625" style="102" customWidth="1"/>
    <col min="15116" max="15360" width="9.140625" style="102"/>
    <col min="15361" max="15361" width="22.85546875" style="102" customWidth="1"/>
    <col min="15362" max="15362" width="19.140625" style="102" customWidth="1"/>
    <col min="15363" max="15363" width="20" style="102" customWidth="1"/>
    <col min="15364" max="15364" width="18" style="102" customWidth="1"/>
    <col min="15365" max="15365" width="19.7109375" style="102" customWidth="1"/>
    <col min="15366" max="15366" width="16.140625" style="102" customWidth="1"/>
    <col min="15367" max="15367" width="16.42578125" style="102" customWidth="1"/>
    <col min="15368" max="15368" width="12.140625" style="102" customWidth="1"/>
    <col min="15369" max="15369" width="13.140625" style="102" customWidth="1"/>
    <col min="15370" max="15370" width="13.7109375" style="102" customWidth="1"/>
    <col min="15371" max="15371" width="18.28515625" style="102" customWidth="1"/>
    <col min="15372" max="15616" width="9.140625" style="102"/>
    <col min="15617" max="15617" width="22.85546875" style="102" customWidth="1"/>
    <col min="15618" max="15618" width="19.140625" style="102" customWidth="1"/>
    <col min="15619" max="15619" width="20" style="102" customWidth="1"/>
    <col min="15620" max="15620" width="18" style="102" customWidth="1"/>
    <col min="15621" max="15621" width="19.7109375" style="102" customWidth="1"/>
    <col min="15622" max="15622" width="16.140625" style="102" customWidth="1"/>
    <col min="15623" max="15623" width="16.42578125" style="102" customWidth="1"/>
    <col min="15624" max="15624" width="12.140625" style="102" customWidth="1"/>
    <col min="15625" max="15625" width="13.140625" style="102" customWidth="1"/>
    <col min="15626" max="15626" width="13.7109375" style="102" customWidth="1"/>
    <col min="15627" max="15627" width="18.28515625" style="102" customWidth="1"/>
    <col min="15628" max="15872" width="9.140625" style="102"/>
    <col min="15873" max="15873" width="22.85546875" style="102" customWidth="1"/>
    <col min="15874" max="15874" width="19.140625" style="102" customWidth="1"/>
    <col min="15875" max="15875" width="20" style="102" customWidth="1"/>
    <col min="15876" max="15876" width="18" style="102" customWidth="1"/>
    <col min="15877" max="15877" width="19.7109375" style="102" customWidth="1"/>
    <col min="15878" max="15878" width="16.140625" style="102" customWidth="1"/>
    <col min="15879" max="15879" width="16.42578125" style="102" customWidth="1"/>
    <col min="15880" max="15880" width="12.140625" style="102" customWidth="1"/>
    <col min="15881" max="15881" width="13.140625" style="102" customWidth="1"/>
    <col min="15882" max="15882" width="13.7109375" style="102" customWidth="1"/>
    <col min="15883" max="15883" width="18.28515625" style="102" customWidth="1"/>
    <col min="15884" max="16128" width="9.140625" style="102"/>
    <col min="16129" max="16129" width="22.85546875" style="102" customWidth="1"/>
    <col min="16130" max="16130" width="19.140625" style="102" customWidth="1"/>
    <col min="16131" max="16131" width="20" style="102" customWidth="1"/>
    <col min="16132" max="16132" width="18" style="102" customWidth="1"/>
    <col min="16133" max="16133" width="19.7109375" style="102" customWidth="1"/>
    <col min="16134" max="16134" width="16.140625" style="102" customWidth="1"/>
    <col min="16135" max="16135" width="16.42578125" style="102" customWidth="1"/>
    <col min="16136" max="16136" width="12.140625" style="102" customWidth="1"/>
    <col min="16137" max="16137" width="13.140625" style="102" customWidth="1"/>
    <col min="16138" max="16138" width="13.7109375" style="102" customWidth="1"/>
    <col min="16139" max="16139" width="18.28515625" style="102" customWidth="1"/>
    <col min="16140" max="16384" width="9.140625" style="102"/>
  </cols>
  <sheetData>
    <row r="2" spans="1:9" s="849" customFormat="1" x14ac:dyDescent="0.2">
      <c r="A2" s="852"/>
      <c r="B2" s="851"/>
      <c r="C2" s="851"/>
      <c r="D2" s="850"/>
      <c r="E2" s="850"/>
    </row>
    <row r="3" spans="1:9" ht="15" customHeight="1" x14ac:dyDescent="0.2">
      <c r="A3" s="244" t="s">
        <v>553</v>
      </c>
      <c r="B3" s="244"/>
      <c r="C3" s="244"/>
      <c r="D3" s="244"/>
      <c r="E3" s="244"/>
      <c r="F3" s="244"/>
      <c r="G3" s="244"/>
      <c r="H3" s="244"/>
      <c r="I3" s="244"/>
    </row>
    <row r="4" spans="1:9" ht="13.5" thickBot="1" x14ac:dyDescent="0.25">
      <c r="A4" s="482"/>
      <c r="B4" s="848"/>
      <c r="C4" s="848"/>
      <c r="D4" s="848"/>
      <c r="E4" s="848"/>
      <c r="F4" s="848"/>
      <c r="G4" s="848"/>
      <c r="H4" s="482"/>
      <c r="I4" s="482"/>
    </row>
    <row r="5" spans="1:9" ht="15" customHeight="1" thickBot="1" x14ac:dyDescent="0.25">
      <c r="A5" s="847"/>
      <c r="B5" s="846" t="s">
        <v>552</v>
      </c>
      <c r="C5" s="845"/>
      <c r="D5" s="845"/>
      <c r="E5" s="845"/>
      <c r="F5" s="845"/>
      <c r="G5" s="844"/>
      <c r="H5" s="843"/>
      <c r="I5" s="843"/>
    </row>
    <row r="6" spans="1:9" x14ac:dyDescent="0.25">
      <c r="A6" s="842" t="s">
        <v>551</v>
      </c>
      <c r="B6" s="840" t="s">
        <v>502</v>
      </c>
      <c r="C6" s="841" t="s">
        <v>550</v>
      </c>
      <c r="D6" s="840" t="s">
        <v>501</v>
      </c>
      <c r="E6" s="839" t="s">
        <v>500</v>
      </c>
      <c r="F6" s="838" t="s">
        <v>499</v>
      </c>
      <c r="G6" s="838" t="s">
        <v>498</v>
      </c>
      <c r="H6" s="838" t="s">
        <v>549</v>
      </c>
      <c r="I6" s="837" t="s">
        <v>548</v>
      </c>
    </row>
    <row r="7" spans="1:9" ht="81.75" customHeight="1" x14ac:dyDescent="0.25">
      <c r="A7" s="836"/>
      <c r="B7" s="834"/>
      <c r="C7" s="835"/>
      <c r="D7" s="834"/>
      <c r="E7" s="833"/>
      <c r="F7" s="832"/>
      <c r="G7" s="832"/>
      <c r="H7" s="832"/>
      <c r="I7" s="831"/>
    </row>
    <row r="8" spans="1:9" s="115" customFormat="1" ht="12.75" customHeight="1" x14ac:dyDescent="0.2">
      <c r="A8" s="822" t="s">
        <v>532</v>
      </c>
      <c r="B8" s="821"/>
      <c r="C8" s="821"/>
      <c r="D8" s="821"/>
      <c r="E8" s="830"/>
      <c r="F8" s="830"/>
      <c r="G8" s="830"/>
      <c r="H8" s="830"/>
      <c r="I8" s="820"/>
    </row>
    <row r="9" spans="1:9" s="115" customFormat="1" x14ac:dyDescent="0.2">
      <c r="A9" s="824" t="s">
        <v>7</v>
      </c>
      <c r="B9" s="829">
        <f>'[1]Nota II.1.1.a'!B74</f>
        <v>8942305804.1299992</v>
      </c>
      <c r="C9" s="829">
        <f>'[1]Nota II.1.1.a'!C74</f>
        <v>192770834.28999999</v>
      </c>
      <c r="D9" s="829">
        <f>'[1]Nota II.1.1.a'!D74</f>
        <v>4203733785.48</v>
      </c>
      <c r="E9" s="829">
        <f>'[1]Nota II.1.1.a'!E74</f>
        <v>246146687.15000001</v>
      </c>
      <c r="F9" s="829">
        <f>'[1]Nota II.1.1.a'!F74</f>
        <v>6218685.3200000003</v>
      </c>
      <c r="G9" s="829">
        <f>'[1]Nota II.1.1.a'!G74</f>
        <v>237721280.66</v>
      </c>
      <c r="H9" s="829">
        <f>'[1]Nota II.1.1.a'!H74</f>
        <v>1400548764.02</v>
      </c>
      <c r="I9" s="828">
        <f>B9+SUM(D9:H9)</f>
        <v>15036675006.759998</v>
      </c>
    </row>
    <row r="10" spans="1:9" x14ac:dyDescent="0.2">
      <c r="A10" s="824" t="s">
        <v>542</v>
      </c>
      <c r="B10" s="829">
        <f>SUM(B11:B13)</f>
        <v>856870863.31999993</v>
      </c>
      <c r="C10" s="829">
        <f>SUM(C11:C13)</f>
        <v>1800047.6199999999</v>
      </c>
      <c r="D10" s="829">
        <f>SUM(D11:D13)</f>
        <v>190202557.33000001</v>
      </c>
      <c r="E10" s="829">
        <f>SUM(E11:E13)</f>
        <v>28716856.969999999</v>
      </c>
      <c r="F10" s="829">
        <f>SUM(F11:F13)</f>
        <v>1002341.16</v>
      </c>
      <c r="G10" s="829">
        <f>SUM(G11:G13)</f>
        <v>22311935.559999999</v>
      </c>
      <c r="H10" s="829">
        <f>SUM(H11:H13)</f>
        <v>1052536841.4799999</v>
      </c>
      <c r="I10" s="828">
        <f>SUM(I11:I13)</f>
        <v>2151641395.8199997</v>
      </c>
    </row>
    <row r="11" spans="1:9" x14ac:dyDescent="0.2">
      <c r="A11" s="827" t="s">
        <v>544</v>
      </c>
      <c r="B11" s="826">
        <f>'[1]Nota II.1.1.a'!B76</f>
        <v>238702918.84</v>
      </c>
      <c r="C11" s="826">
        <f>'[1]Nota II.1.1.a'!C76</f>
        <v>230460.66</v>
      </c>
      <c r="D11" s="826">
        <f>'[1]Nota II.1.1.a'!D76</f>
        <v>27627149.100000001</v>
      </c>
      <c r="E11" s="826">
        <f>'[1]Nota II.1.1.a'!E76</f>
        <v>1092124.81</v>
      </c>
      <c r="F11" s="826">
        <f>'[1]Nota II.1.1.a'!F76</f>
        <v>624069.91</v>
      </c>
      <c r="G11" s="826">
        <f>'[1]Nota II.1.1.a'!G76</f>
        <v>18306284.579999998</v>
      </c>
      <c r="H11" s="826">
        <f>'[1]Nota II.1.1.a'!H76</f>
        <v>643039723.77999997</v>
      </c>
      <c r="I11" s="825">
        <f>B11+SUM(D11:H11)</f>
        <v>929392271.01999998</v>
      </c>
    </row>
    <row r="12" spans="1:9" x14ac:dyDescent="0.2">
      <c r="A12" s="827" t="s">
        <v>266</v>
      </c>
      <c r="B12" s="826">
        <f>'[1]Nota II.1.1.a'!B77</f>
        <v>615894097.04999995</v>
      </c>
      <c r="C12" s="826">
        <f>'[1]Nota II.1.1.a'!C77</f>
        <v>1569586.96</v>
      </c>
      <c r="D12" s="826">
        <f>'[1]Nota II.1.1.a'!D77</f>
        <v>92056215.049999997</v>
      </c>
      <c r="E12" s="826">
        <f>'[1]Nota II.1.1.a'!E77</f>
        <v>1070761.6000000001</v>
      </c>
      <c r="F12" s="826">
        <f>'[1]Nota II.1.1.a'!F77</f>
        <v>92341</v>
      </c>
      <c r="G12" s="826">
        <f>'[1]Nota II.1.1.a'!G77</f>
        <v>3196117.82</v>
      </c>
      <c r="H12" s="826">
        <f>'[1]Nota II.1.1.a'!H77</f>
        <v>509939592.27999997</v>
      </c>
      <c r="I12" s="825">
        <f>B12+SUM(D12:H12)</f>
        <v>1222249124.8</v>
      </c>
    </row>
    <row r="13" spans="1:9" x14ac:dyDescent="0.2">
      <c r="A13" s="827" t="s">
        <v>547</v>
      </c>
      <c r="B13" s="826">
        <f>'[1]Nota II.1.1.a'!B78</f>
        <v>2273847.4300000002</v>
      </c>
      <c r="C13" s="826">
        <f>'[1]Nota II.1.1.a'!C78</f>
        <v>0</v>
      </c>
      <c r="D13" s="826">
        <f>'[1]Nota II.1.1.a'!D78</f>
        <v>70519193.180000007</v>
      </c>
      <c r="E13" s="826">
        <f>'[1]Nota II.1.1.a'!E78</f>
        <v>26553970.559999999</v>
      </c>
      <c r="F13" s="826">
        <f>'[1]Nota II.1.1.a'!F78</f>
        <v>285930.25</v>
      </c>
      <c r="G13" s="826">
        <f>'[1]Nota II.1.1.a'!G78</f>
        <v>809533.16</v>
      </c>
      <c r="H13" s="826">
        <f>'[1]Nota II.1.1.a'!H78</f>
        <v>-100442474.58</v>
      </c>
      <c r="I13" s="825">
        <f>B13+SUM(D13:H13)</f>
        <v>7.9162418842315674E-9</v>
      </c>
    </row>
    <row r="14" spans="1:9" x14ac:dyDescent="0.2">
      <c r="A14" s="824" t="s">
        <v>540</v>
      </c>
      <c r="B14" s="829">
        <f>SUM(B15:B16)</f>
        <v>249200293.84999999</v>
      </c>
      <c r="C14" s="829">
        <f>SUM(C15:C16)</f>
        <v>34966641.789999999</v>
      </c>
      <c r="D14" s="829">
        <f>SUM(D15:D16)</f>
        <v>59577378.240000002</v>
      </c>
      <c r="E14" s="829">
        <f>SUM(E15:E16)</f>
        <v>10784644.789999999</v>
      </c>
      <c r="F14" s="829">
        <f>SUM(F15:F16)</f>
        <v>275374</v>
      </c>
      <c r="G14" s="829">
        <f>SUM(G15:G16)</f>
        <v>9267876.6400000006</v>
      </c>
      <c r="H14" s="829">
        <f>SUM(H15:H16)</f>
        <v>428707471.01999998</v>
      </c>
      <c r="I14" s="828">
        <f>SUM(I15:I16)</f>
        <v>757813038.54000008</v>
      </c>
    </row>
    <row r="15" spans="1:9" x14ac:dyDescent="0.2">
      <c r="A15" s="827" t="s">
        <v>539</v>
      </c>
      <c r="B15" s="826">
        <f>'[1]Nota II.1.1.a'!B80</f>
        <v>9301746.9000000004</v>
      </c>
      <c r="C15" s="826">
        <f>'[1]Nota II.1.1.a'!C80</f>
        <v>250127.43</v>
      </c>
      <c r="D15" s="826">
        <f>'[1]Nota II.1.1.a'!D80</f>
        <v>8602876.3499999996</v>
      </c>
      <c r="E15" s="826">
        <f>'[1]Nota II.1.1.a'!E80</f>
        <v>6938921.1600000001</v>
      </c>
      <c r="F15" s="826">
        <f>'[1]Nota II.1.1.a'!F80</f>
        <v>183033</v>
      </c>
      <c r="G15" s="826">
        <f>'[1]Nota II.1.1.a'!G80</f>
        <v>6238164.79</v>
      </c>
      <c r="H15" s="826">
        <f>'[1]Nota II.1.1.a'!H80</f>
        <v>23556992.399999999</v>
      </c>
      <c r="I15" s="825">
        <f>B15+SUM(D15:H15)</f>
        <v>54821734.600000001</v>
      </c>
    </row>
    <row r="16" spans="1:9" x14ac:dyDescent="0.2">
      <c r="A16" s="827" t="s">
        <v>266</v>
      </c>
      <c r="B16" s="826">
        <f>'[1]Nota II.1.1.a'!B81</f>
        <v>239898546.94999999</v>
      </c>
      <c r="C16" s="826">
        <f>'[1]Nota II.1.1.a'!C81</f>
        <v>34716514.359999999</v>
      </c>
      <c r="D16" s="826">
        <f>'[1]Nota II.1.1.a'!D81</f>
        <v>50974501.890000001</v>
      </c>
      <c r="E16" s="826">
        <f>'[1]Nota II.1.1.a'!E81</f>
        <v>3845723.63</v>
      </c>
      <c r="F16" s="826">
        <f>'[1]Nota II.1.1.a'!F81</f>
        <v>92341</v>
      </c>
      <c r="G16" s="826">
        <f>'[1]Nota II.1.1.a'!G81</f>
        <v>3029711.85</v>
      </c>
      <c r="H16" s="826">
        <f>'[1]Nota II.1.1.a'!H81</f>
        <v>405150478.62</v>
      </c>
      <c r="I16" s="825">
        <f>B16+SUM(D16:H16)</f>
        <v>702991303.94000006</v>
      </c>
    </row>
    <row r="17" spans="1:9" x14ac:dyDescent="0.2">
      <c r="A17" s="824" t="s">
        <v>8</v>
      </c>
      <c r="B17" s="829">
        <f>B9+B10-B14</f>
        <v>9549976373.5999985</v>
      </c>
      <c r="C17" s="829">
        <f>C9+C10-C14</f>
        <v>159604240.12</v>
      </c>
      <c r="D17" s="829">
        <f>D9+D10-D14</f>
        <v>4334358964.5700006</v>
      </c>
      <c r="E17" s="829">
        <f>E9+E10-E14</f>
        <v>264078899.33000001</v>
      </c>
      <c r="F17" s="829">
        <f>F9+F10-F14</f>
        <v>6945652.4800000004</v>
      </c>
      <c r="G17" s="829">
        <f>G9+G10-G14</f>
        <v>250765339.57999998</v>
      </c>
      <c r="H17" s="829">
        <f>H9+H10-H14</f>
        <v>2024378134.48</v>
      </c>
      <c r="I17" s="828">
        <f>I9+I10-I14</f>
        <v>16430503364.039997</v>
      </c>
    </row>
    <row r="18" spans="1:9" x14ac:dyDescent="0.2">
      <c r="A18" s="822" t="s">
        <v>543</v>
      </c>
      <c r="B18" s="830"/>
      <c r="C18" s="830"/>
      <c r="D18" s="830"/>
      <c r="E18" s="830"/>
      <c r="F18" s="830"/>
      <c r="G18" s="830"/>
      <c r="H18" s="830"/>
      <c r="I18" s="820"/>
    </row>
    <row r="19" spans="1:9" x14ac:dyDescent="0.2">
      <c r="A19" s="824" t="s">
        <v>7</v>
      </c>
      <c r="B19" s="829">
        <f>'[1]Nota II.1.1.a'!B84</f>
        <v>52680072.530000001</v>
      </c>
      <c r="C19" s="829">
        <f>'[1]Nota II.1.1.a'!C84</f>
        <v>0</v>
      </c>
      <c r="D19" s="829">
        <f>'[1]Nota II.1.1.a'!D84</f>
        <v>1974245769.4100001</v>
      </c>
      <c r="E19" s="829">
        <f>'[1]Nota II.1.1.a'!E84</f>
        <v>206177901.08000001</v>
      </c>
      <c r="F19" s="829">
        <f>'[1]Nota II.1.1.a'!F84</f>
        <v>5731154.1299999999</v>
      </c>
      <c r="G19" s="829">
        <f>'[1]Nota II.1.1.a'!G84</f>
        <v>204991816.87</v>
      </c>
      <c r="H19" s="829">
        <f>'[1]Nota II.1.1.a'!H84</f>
        <v>0</v>
      </c>
      <c r="I19" s="828">
        <f>B19+SUM(D19:H19)</f>
        <v>2443826714.0200005</v>
      </c>
    </row>
    <row r="20" spans="1:9" x14ac:dyDescent="0.2">
      <c r="A20" s="824" t="s">
        <v>542</v>
      </c>
      <c r="B20" s="829">
        <f>SUM(B21:B23)</f>
        <v>8565789.7599999998</v>
      </c>
      <c r="C20" s="829">
        <f>SUM(C21:C23)</f>
        <v>0</v>
      </c>
      <c r="D20" s="829">
        <f>SUM(D21:D23)</f>
        <v>136636397.22</v>
      </c>
      <c r="E20" s="829">
        <f>SUM(E21:E23)</f>
        <v>16062609.810000001</v>
      </c>
      <c r="F20" s="829">
        <f>SUM(F21:F23)</f>
        <v>321874.29000000004</v>
      </c>
      <c r="G20" s="829">
        <f>SUM(G21:G23)</f>
        <v>23233479.370000001</v>
      </c>
      <c r="H20" s="829">
        <f>SUM(H21:H23)</f>
        <v>0</v>
      </c>
      <c r="I20" s="828">
        <f>SUM(I21:I23)</f>
        <v>184820150.44999999</v>
      </c>
    </row>
    <row r="21" spans="1:9" x14ac:dyDescent="0.2">
      <c r="A21" s="827" t="s">
        <v>541</v>
      </c>
      <c r="B21" s="826">
        <f>'[1]Nota II.1.1.a'!B86</f>
        <v>6541781.9299999997</v>
      </c>
      <c r="C21" s="826">
        <f>'[1]Nota II.1.1.a'!C86</f>
        <v>0</v>
      </c>
      <c r="D21" s="826">
        <f>'[1]Nota II.1.1.a'!D86</f>
        <v>134889508.31999999</v>
      </c>
      <c r="E21" s="826">
        <f>'[1]Nota II.1.1.a'!E86</f>
        <v>15203979.25</v>
      </c>
      <c r="F21" s="826">
        <f>'[1]Nota II.1.1.a'!F86</f>
        <v>229533.29</v>
      </c>
      <c r="G21" s="826">
        <f>'[1]Nota II.1.1.a'!G86</f>
        <v>5052535.8899999997</v>
      </c>
      <c r="H21" s="826">
        <f>'[1]Nota II.1.1.a'!H86</f>
        <v>0</v>
      </c>
      <c r="I21" s="825">
        <f>B21+SUM(D21:H21)</f>
        <v>161917338.67999998</v>
      </c>
    </row>
    <row r="22" spans="1:9" x14ac:dyDescent="0.2">
      <c r="A22" s="827" t="s">
        <v>266</v>
      </c>
      <c r="B22" s="826">
        <f>'[1]Nota II.1.1.a'!B87</f>
        <v>2024007.83</v>
      </c>
      <c r="C22" s="826">
        <f>'[1]Nota II.1.1.a'!C87</f>
        <v>0</v>
      </c>
      <c r="D22" s="826">
        <f>'[1]Nota II.1.1.a'!D87</f>
        <v>1746888.9</v>
      </c>
      <c r="E22" s="826">
        <f>'[1]Nota II.1.1.a'!E87</f>
        <v>858630.56</v>
      </c>
      <c r="F22" s="826">
        <f>'[1]Nota II.1.1.a'!F87</f>
        <v>92341</v>
      </c>
      <c r="G22" s="826">
        <f>'[1]Nota II.1.1.a'!G87</f>
        <v>18180943.48</v>
      </c>
      <c r="H22" s="826">
        <f>'[1]Nota II.1.1.a'!H87</f>
        <v>0</v>
      </c>
      <c r="I22" s="825">
        <f>B22+SUM(D22:H22)</f>
        <v>22902811.770000003</v>
      </c>
    </row>
    <row r="23" spans="1:9" x14ac:dyDescent="0.2">
      <c r="A23" s="827" t="s">
        <v>547</v>
      </c>
      <c r="B23" s="826">
        <f>'[1]Nota II.1.1.a'!B88</f>
        <v>0</v>
      </c>
      <c r="C23" s="826">
        <f>'[1]Nota II.1.1.a'!C88</f>
        <v>0</v>
      </c>
      <c r="D23" s="826">
        <f>'[1]Nota II.1.1.a'!D88</f>
        <v>0</v>
      </c>
      <c r="E23" s="826">
        <f>'[1]Nota II.1.1.a'!E88</f>
        <v>0</v>
      </c>
      <c r="F23" s="826">
        <f>'[1]Nota II.1.1.a'!F88</f>
        <v>0</v>
      </c>
      <c r="G23" s="826">
        <f>'[1]Nota II.1.1.a'!G88</f>
        <v>0</v>
      </c>
      <c r="H23" s="826">
        <f>'[1]Nota II.1.1.a'!H88</f>
        <v>0</v>
      </c>
      <c r="I23" s="825">
        <f>B23+SUM(D23:H23)</f>
        <v>0</v>
      </c>
    </row>
    <row r="24" spans="1:9" x14ac:dyDescent="0.2">
      <c r="A24" s="824" t="s">
        <v>540</v>
      </c>
      <c r="B24" s="829">
        <f>SUM(B25:B26)</f>
        <v>1968515.51</v>
      </c>
      <c r="C24" s="829">
        <f>SUM(C25:C26)</f>
        <v>0</v>
      </c>
      <c r="D24" s="829">
        <f>SUM(D25:D26)</f>
        <v>15929469.190000001</v>
      </c>
      <c r="E24" s="829">
        <f>SUM(E25:E26)</f>
        <v>7819601.8599999994</v>
      </c>
      <c r="F24" s="829">
        <f>SUM(F25:F26)</f>
        <v>275374</v>
      </c>
      <c r="G24" s="829">
        <f>SUM(G25:G26)</f>
        <v>9301476.3099999987</v>
      </c>
      <c r="H24" s="829">
        <f>SUM(H25:H26)</f>
        <v>0</v>
      </c>
      <c r="I24" s="828">
        <f>SUM(I25:I26)</f>
        <v>35294436.869999997</v>
      </c>
    </row>
    <row r="25" spans="1:9" x14ac:dyDescent="0.2">
      <c r="A25" s="827" t="s">
        <v>539</v>
      </c>
      <c r="B25" s="826">
        <f>'[1]Nota II.1.1.a'!B90</f>
        <v>0</v>
      </c>
      <c r="C25" s="826">
        <f>'[1]Nota II.1.1.a'!C90</f>
        <v>0</v>
      </c>
      <c r="D25" s="826">
        <f>'[1]Nota II.1.1.a'!D90</f>
        <v>7436133.3099999996</v>
      </c>
      <c r="E25" s="826">
        <f>'[1]Nota II.1.1.a'!E90</f>
        <v>6982687.5899999999</v>
      </c>
      <c r="F25" s="826">
        <f>'[1]Nota II.1.1.a'!F90</f>
        <v>209518</v>
      </c>
      <c r="G25" s="826">
        <f>'[1]Nota II.1.1.a'!G90</f>
        <v>6245580.2599999998</v>
      </c>
      <c r="H25" s="826">
        <f>'[1]Nota II.1.1.a'!H90</f>
        <v>0</v>
      </c>
      <c r="I25" s="825">
        <f>B25+SUM(D25:H25)</f>
        <v>20873919.159999996</v>
      </c>
    </row>
    <row r="26" spans="1:9" x14ac:dyDescent="0.2">
      <c r="A26" s="827" t="s">
        <v>266</v>
      </c>
      <c r="B26" s="826">
        <f>'[1]Nota II.1.1.a'!B91</f>
        <v>1968515.51</v>
      </c>
      <c r="C26" s="826">
        <f>'[1]Nota II.1.1.a'!C91</f>
        <v>0</v>
      </c>
      <c r="D26" s="826">
        <f>'[1]Nota II.1.1.a'!D91</f>
        <v>8493335.8800000008</v>
      </c>
      <c r="E26" s="826">
        <f>'[1]Nota II.1.1.a'!E91</f>
        <v>836914.27</v>
      </c>
      <c r="F26" s="826">
        <f>'[1]Nota II.1.1.a'!F91</f>
        <v>65856</v>
      </c>
      <c r="G26" s="826">
        <f>'[1]Nota II.1.1.a'!G91</f>
        <v>3055896.05</v>
      </c>
      <c r="H26" s="826">
        <f>'[1]Nota II.1.1.a'!H91</f>
        <v>0</v>
      </c>
      <c r="I26" s="825">
        <f>B26+SUM(D26:H26)</f>
        <v>14420517.709999999</v>
      </c>
    </row>
    <row r="27" spans="1:9" x14ac:dyDescent="0.2">
      <c r="A27" s="824" t="s">
        <v>8</v>
      </c>
      <c r="B27" s="829">
        <f>B19+B20-B24</f>
        <v>59277346.780000001</v>
      </c>
      <c r="C27" s="829">
        <f>C19+C20-C24</f>
        <v>0</v>
      </c>
      <c r="D27" s="829">
        <f>D19+D20-D24</f>
        <v>2094952697.4400001</v>
      </c>
      <c r="E27" s="829">
        <f>E19+E20-E24</f>
        <v>214420909.03000003</v>
      </c>
      <c r="F27" s="829">
        <f>F19+F20-F24</f>
        <v>5777654.4199999999</v>
      </c>
      <c r="G27" s="829">
        <f>G19+G20-G24</f>
        <v>218923819.93000001</v>
      </c>
      <c r="H27" s="829">
        <f>H19+H20-H24</f>
        <v>0</v>
      </c>
      <c r="I27" s="828">
        <f>I19+I20-I24</f>
        <v>2593352427.6000004</v>
      </c>
    </row>
    <row r="28" spans="1:9" x14ac:dyDescent="0.2">
      <c r="A28" s="822" t="s">
        <v>538</v>
      </c>
      <c r="B28" s="830"/>
      <c r="C28" s="830"/>
      <c r="D28" s="830"/>
      <c r="E28" s="830"/>
      <c r="F28" s="830"/>
      <c r="G28" s="830"/>
      <c r="H28" s="830"/>
      <c r="I28" s="820"/>
    </row>
    <row r="29" spans="1:9" x14ac:dyDescent="0.2">
      <c r="A29" s="824" t="s">
        <v>7</v>
      </c>
      <c r="B29" s="829">
        <f>'[1]Nota II.1.1.a'!B94</f>
        <v>17538760.010000002</v>
      </c>
      <c r="C29" s="829">
        <f>'[1]Nota II.1.1.a'!C94</f>
        <v>17538760.010000002</v>
      </c>
      <c r="D29" s="829">
        <f>'[1]Nota II.1.1.a'!D94</f>
        <v>0</v>
      </c>
      <c r="E29" s="829">
        <f>'[1]Nota II.1.1.a'!E94</f>
        <v>0</v>
      </c>
      <c r="F29" s="829">
        <f>'[1]Nota II.1.1.a'!F94</f>
        <v>0</v>
      </c>
      <c r="G29" s="829">
        <f>'[1]Nota II.1.1.a'!G94</f>
        <v>0</v>
      </c>
      <c r="H29" s="829">
        <f>'[1]Nota II.1.1.a'!H94</f>
        <v>4396633.4800000004</v>
      </c>
      <c r="I29" s="828">
        <f>B29+SUM(D29:H29)</f>
        <v>21935393.490000002</v>
      </c>
    </row>
    <row r="30" spans="1:9" x14ac:dyDescent="0.2">
      <c r="A30" s="827" t="s">
        <v>359</v>
      </c>
      <c r="B30" s="826">
        <f>'[1]Nota II.1.1.a'!B95</f>
        <v>1269358.93</v>
      </c>
      <c r="C30" s="826">
        <f>'[1]Nota II.1.1.a'!C95</f>
        <v>1269358.93</v>
      </c>
      <c r="D30" s="826">
        <f>'[1]Nota II.1.1.a'!D95</f>
        <v>0</v>
      </c>
      <c r="E30" s="826">
        <f>'[1]Nota II.1.1.a'!E95</f>
        <v>0</v>
      </c>
      <c r="F30" s="826">
        <f>'[1]Nota II.1.1.a'!F95</f>
        <v>0</v>
      </c>
      <c r="G30" s="826">
        <f>'[1]Nota II.1.1.a'!G95</f>
        <v>0</v>
      </c>
      <c r="H30" s="826">
        <f>'[1]Nota II.1.1.a'!H95</f>
        <v>8610</v>
      </c>
      <c r="I30" s="825">
        <f>B30+SUM(D30:H30)</f>
        <v>1277968.93</v>
      </c>
    </row>
    <row r="31" spans="1:9" x14ac:dyDescent="0.2">
      <c r="A31" s="827" t="s">
        <v>358</v>
      </c>
      <c r="B31" s="826">
        <f>'[1]Nota II.1.1.a'!B96</f>
        <v>2133949.5099999998</v>
      </c>
      <c r="C31" s="826">
        <f>'[1]Nota II.1.1.a'!C96</f>
        <v>2133949.5099999998</v>
      </c>
      <c r="D31" s="826">
        <f>'[1]Nota II.1.1.a'!D96</f>
        <v>0</v>
      </c>
      <c r="E31" s="826">
        <f>'[1]Nota II.1.1.a'!E96</f>
        <v>0</v>
      </c>
      <c r="F31" s="826">
        <f>'[1]Nota II.1.1.a'!F96</f>
        <v>0</v>
      </c>
      <c r="G31" s="826">
        <f>'[1]Nota II.1.1.a'!G96</f>
        <v>0</v>
      </c>
      <c r="H31" s="826">
        <f>'[1]Nota II.1.1.a'!H96</f>
        <v>0</v>
      </c>
      <c r="I31" s="825">
        <f>B31+SUM(D31:H31)</f>
        <v>2133949.5099999998</v>
      </c>
    </row>
    <row r="32" spans="1:9" x14ac:dyDescent="0.2">
      <c r="A32" s="824" t="s">
        <v>8</v>
      </c>
      <c r="B32" s="823">
        <f>B29+B30-B31</f>
        <v>16674169.430000002</v>
      </c>
      <c r="C32" s="823">
        <f>C29+C30-C31</f>
        <v>16674169.430000002</v>
      </c>
      <c r="D32" s="823">
        <f>D29+D30-D31</f>
        <v>0</v>
      </c>
      <c r="E32" s="823">
        <f>E29+E30-E31</f>
        <v>0</v>
      </c>
      <c r="F32" s="823">
        <f>F29+F30-F31</f>
        <v>0</v>
      </c>
      <c r="G32" s="823">
        <f>G29+G30-G31</f>
        <v>0</v>
      </c>
      <c r="H32" s="823">
        <f>H29+H30-H31</f>
        <v>4405243.4800000004</v>
      </c>
      <c r="I32" s="787">
        <f>I29+I30-I31</f>
        <v>21079412.910000004</v>
      </c>
    </row>
    <row r="33" spans="1:9" x14ac:dyDescent="0.2">
      <c r="A33" s="822" t="s">
        <v>523</v>
      </c>
      <c r="B33" s="821"/>
      <c r="C33" s="821"/>
      <c r="D33" s="821"/>
      <c r="E33" s="821"/>
      <c r="F33" s="821"/>
      <c r="G33" s="821"/>
      <c r="H33" s="821"/>
      <c r="I33" s="820"/>
    </row>
    <row r="34" spans="1:9" x14ac:dyDescent="0.2">
      <c r="A34" s="745" t="s">
        <v>7</v>
      </c>
      <c r="B34" s="819">
        <f>B9-B19-B29</f>
        <v>8872086971.5899982</v>
      </c>
      <c r="C34" s="819">
        <f>C9-C19-C29</f>
        <v>175232074.28</v>
      </c>
      <c r="D34" s="819">
        <f>D9-D19-D29</f>
        <v>2229488016.0699997</v>
      </c>
      <c r="E34" s="819">
        <f>E9-E19-E29</f>
        <v>39968786.069999993</v>
      </c>
      <c r="F34" s="819">
        <f>F9-F19-F29</f>
        <v>487531.19000000041</v>
      </c>
      <c r="G34" s="819">
        <f>G9-G19-G29</f>
        <v>32729463.789999992</v>
      </c>
      <c r="H34" s="819">
        <f>H9-H19-H29</f>
        <v>1396152130.54</v>
      </c>
      <c r="I34" s="818">
        <f>I9-I19-I29</f>
        <v>12570912899.249998</v>
      </c>
    </row>
    <row r="35" spans="1:9" ht="13.5" thickBot="1" x14ac:dyDescent="0.25">
      <c r="A35" s="742" t="s">
        <v>522</v>
      </c>
      <c r="B35" s="817">
        <f>B17-B27-B32</f>
        <v>9474024857.3899975</v>
      </c>
      <c r="C35" s="817">
        <f>C17-C27-C32</f>
        <v>142930070.69</v>
      </c>
      <c r="D35" s="817">
        <f>D17-D27-D32</f>
        <v>2239406267.1300006</v>
      </c>
      <c r="E35" s="817">
        <f>E17-E27-E32</f>
        <v>49657990.299999982</v>
      </c>
      <c r="F35" s="817">
        <f>F17-F27-F32</f>
        <v>1167998.0600000005</v>
      </c>
      <c r="G35" s="817">
        <f>G17-G27-G32</f>
        <v>31841519.649999976</v>
      </c>
      <c r="H35" s="817">
        <f>H17-H27-H32</f>
        <v>2019972891</v>
      </c>
      <c r="I35" s="816">
        <f>I17-I27-I32</f>
        <v>13816071523.529997</v>
      </c>
    </row>
    <row r="36" spans="1:9" x14ac:dyDescent="0.2">
      <c r="A36" s="368"/>
      <c r="B36" s="815"/>
      <c r="C36" s="815"/>
      <c r="D36" s="815"/>
      <c r="E36" s="815"/>
      <c r="F36" s="815"/>
      <c r="G36" s="815"/>
      <c r="H36" s="815"/>
      <c r="I36" s="815"/>
    </row>
    <row r="37" spans="1:9" x14ac:dyDescent="0.2">
      <c r="A37" s="368"/>
      <c r="B37" s="815"/>
      <c r="C37" s="815"/>
      <c r="D37" s="815"/>
      <c r="E37" s="815"/>
      <c r="F37" s="815"/>
      <c r="G37" s="815"/>
      <c r="H37" s="815"/>
      <c r="I37" s="815"/>
    </row>
    <row r="38" spans="1:9" x14ac:dyDescent="0.2">
      <c r="A38" s="368"/>
      <c r="B38" s="815"/>
      <c r="C38" s="815"/>
      <c r="D38" s="815"/>
      <c r="E38" s="815"/>
      <c r="F38" s="815"/>
      <c r="G38" s="815"/>
      <c r="H38" s="815"/>
      <c r="I38" s="815"/>
    </row>
    <row r="39" spans="1:9" x14ac:dyDescent="0.2">
      <c r="A39" s="814" t="s">
        <v>546</v>
      </c>
      <c r="B39" s="814"/>
    </row>
    <row r="40" spans="1:9" ht="13.5" thickBot="1" x14ac:dyDescent="0.25">
      <c r="A40" s="106"/>
      <c r="B40" s="106"/>
    </row>
    <row r="41" spans="1:9" ht="21.75" customHeight="1" x14ac:dyDescent="0.25">
      <c r="A41" s="813" t="s">
        <v>545</v>
      </c>
      <c r="B41" s="812"/>
      <c r="C41" s="811"/>
    </row>
    <row r="42" spans="1:9" ht="13.5" customHeight="1" x14ac:dyDescent="0.25">
      <c r="A42" s="810"/>
      <c r="B42" s="809"/>
      <c r="C42" s="808"/>
    </row>
    <row r="43" spans="1:9" ht="29.25" customHeight="1" x14ac:dyDescent="0.25">
      <c r="A43" s="807"/>
      <c r="B43" s="806"/>
      <c r="C43" s="805"/>
    </row>
    <row r="44" spans="1:9" x14ac:dyDescent="0.2">
      <c r="A44" s="786" t="s">
        <v>532</v>
      </c>
      <c r="B44" s="785"/>
      <c r="C44" s="784"/>
    </row>
    <row r="45" spans="1:9" x14ac:dyDescent="0.2">
      <c r="A45" s="789" t="s">
        <v>7</v>
      </c>
      <c r="B45" s="788"/>
      <c r="C45" s="787">
        <f>'[1]Nota II.1.b'!B70</f>
        <v>204992173.28999999</v>
      </c>
    </row>
    <row r="46" spans="1:9" x14ac:dyDescent="0.2">
      <c r="A46" s="804" t="s">
        <v>542</v>
      </c>
      <c r="B46" s="803"/>
      <c r="C46" s="802">
        <f>SUM(C47:C48)</f>
        <v>17840531.939999998</v>
      </c>
    </row>
    <row r="47" spans="1:9" x14ac:dyDescent="0.2">
      <c r="A47" s="801" t="s">
        <v>544</v>
      </c>
      <c r="B47" s="800"/>
      <c r="C47" s="790">
        <f>'[1]Nota II.1.b'!B72</f>
        <v>16899127.629999999</v>
      </c>
    </row>
    <row r="48" spans="1:9" x14ac:dyDescent="0.2">
      <c r="A48" s="801" t="s">
        <v>266</v>
      </c>
      <c r="B48" s="800"/>
      <c r="C48" s="790">
        <f>'[1]Nota II.1.b'!B73</f>
        <v>941404.31</v>
      </c>
    </row>
    <row r="49" spans="1:3" x14ac:dyDescent="0.2">
      <c r="A49" s="804" t="s">
        <v>540</v>
      </c>
      <c r="B49" s="803"/>
      <c r="C49" s="802">
        <f>SUM(C50:C51)</f>
        <v>7095963.5600000005</v>
      </c>
    </row>
    <row r="50" spans="1:3" x14ac:dyDescent="0.2">
      <c r="A50" s="801" t="s">
        <v>539</v>
      </c>
      <c r="B50" s="800"/>
      <c r="C50" s="790">
        <f>'[1]Nota II.1.b'!B75</f>
        <v>6355689.4500000002</v>
      </c>
    </row>
    <row r="51" spans="1:3" x14ac:dyDescent="0.2">
      <c r="A51" s="801" t="s">
        <v>266</v>
      </c>
      <c r="B51" s="800"/>
      <c r="C51" s="790">
        <f>'[1]Nota II.1.b'!B76</f>
        <v>740274.11</v>
      </c>
    </row>
    <row r="52" spans="1:3" x14ac:dyDescent="0.2">
      <c r="A52" s="804" t="s">
        <v>8</v>
      </c>
      <c r="B52" s="803"/>
      <c r="C52" s="802">
        <f>C45+C46-C49</f>
        <v>215736741.66999999</v>
      </c>
    </row>
    <row r="53" spans="1:3" x14ac:dyDescent="0.2">
      <c r="A53" s="786" t="s">
        <v>543</v>
      </c>
      <c r="B53" s="785"/>
      <c r="C53" s="784"/>
    </row>
    <row r="54" spans="1:3" x14ac:dyDescent="0.2">
      <c r="A54" s="789" t="s">
        <v>7</v>
      </c>
      <c r="B54" s="788"/>
      <c r="C54" s="787">
        <f>'[1]Nota II.1.b'!B79</f>
        <v>170692305.49000001</v>
      </c>
    </row>
    <row r="55" spans="1:3" x14ac:dyDescent="0.2">
      <c r="A55" s="804" t="s">
        <v>542</v>
      </c>
      <c r="B55" s="803"/>
      <c r="C55" s="802">
        <f>SUM(C56:C57)</f>
        <v>13871908.32</v>
      </c>
    </row>
    <row r="56" spans="1:3" x14ac:dyDescent="0.2">
      <c r="A56" s="801" t="s">
        <v>541</v>
      </c>
      <c r="B56" s="800"/>
      <c r="C56" s="790">
        <f>'[1]Nota II.1.b'!B81</f>
        <v>10831924.92</v>
      </c>
    </row>
    <row r="57" spans="1:3" x14ac:dyDescent="0.2">
      <c r="A57" s="801" t="s">
        <v>266</v>
      </c>
      <c r="B57" s="800"/>
      <c r="C57" s="790">
        <f>'[1]Nota II.1.b'!B82</f>
        <v>3039983.4</v>
      </c>
    </row>
    <row r="58" spans="1:3" x14ac:dyDescent="0.2">
      <c r="A58" s="804" t="s">
        <v>540</v>
      </c>
      <c r="B58" s="803"/>
      <c r="C58" s="802">
        <f>SUM(C59:C60)</f>
        <v>810350.51</v>
      </c>
    </row>
    <row r="59" spans="1:3" x14ac:dyDescent="0.2">
      <c r="A59" s="801" t="s">
        <v>539</v>
      </c>
      <c r="B59" s="800"/>
      <c r="C59" s="790">
        <f>'[1]Nota II.1.b'!B84</f>
        <v>810350.51</v>
      </c>
    </row>
    <row r="60" spans="1:3" x14ac:dyDescent="0.2">
      <c r="A60" s="799" t="s">
        <v>266</v>
      </c>
      <c r="B60" s="798"/>
      <c r="C60" s="790">
        <f>'[1]Nota II.1.b'!B85</f>
        <v>0</v>
      </c>
    </row>
    <row r="61" spans="1:3" x14ac:dyDescent="0.2">
      <c r="A61" s="797" t="s">
        <v>8</v>
      </c>
      <c r="B61" s="796"/>
      <c r="C61" s="795">
        <f>C54+C55-C58</f>
        <v>183753863.30000001</v>
      </c>
    </row>
    <row r="62" spans="1:3" x14ac:dyDescent="0.2">
      <c r="A62" s="794" t="s">
        <v>538</v>
      </c>
      <c r="B62" s="793"/>
      <c r="C62" s="784"/>
    </row>
    <row r="63" spans="1:3" x14ac:dyDescent="0.2">
      <c r="A63" s="789" t="s">
        <v>7</v>
      </c>
      <c r="B63" s="788"/>
      <c r="C63" s="787">
        <f>'[1]Nota II.1.b'!B23</f>
        <v>0</v>
      </c>
    </row>
    <row r="64" spans="1:3" x14ac:dyDescent="0.2">
      <c r="A64" s="792" t="s">
        <v>359</v>
      </c>
      <c r="B64" s="791"/>
      <c r="C64" s="790">
        <f>'[1]Nota II.1.b'!B56</f>
        <v>0</v>
      </c>
    </row>
    <row r="65" spans="1:5" x14ac:dyDescent="0.2">
      <c r="A65" s="792" t="s">
        <v>358</v>
      </c>
      <c r="B65" s="791"/>
      <c r="C65" s="790">
        <f>'[1]Nota II.1.b'!B57</f>
        <v>0</v>
      </c>
    </row>
    <row r="66" spans="1:5" x14ac:dyDescent="0.2">
      <c r="A66" s="789" t="s">
        <v>8</v>
      </c>
      <c r="B66" s="788"/>
      <c r="C66" s="787">
        <f>C63+C64-C65</f>
        <v>0</v>
      </c>
    </row>
    <row r="67" spans="1:5" x14ac:dyDescent="0.2">
      <c r="A67" s="786" t="s">
        <v>523</v>
      </c>
      <c r="B67" s="785"/>
      <c r="C67" s="784"/>
    </row>
    <row r="68" spans="1:5" x14ac:dyDescent="0.2">
      <c r="A68" s="783" t="s">
        <v>7</v>
      </c>
      <c r="B68" s="782"/>
      <c r="C68" s="781">
        <f>C45-C54-C63</f>
        <v>34299867.799999982</v>
      </c>
    </row>
    <row r="69" spans="1:5" ht="15.75" customHeight="1" thickBot="1" x14ac:dyDescent="0.25">
      <c r="A69" s="780" t="s">
        <v>522</v>
      </c>
      <c r="B69" s="779"/>
      <c r="C69" s="778">
        <f>C52-C61-C66</f>
        <v>31982878.369999975</v>
      </c>
    </row>
    <row r="76" spans="1:5" x14ac:dyDescent="0.2">
      <c r="A76" s="777" t="s">
        <v>537</v>
      </c>
      <c r="B76" s="776"/>
      <c r="C76" s="776"/>
      <c r="D76" s="776"/>
      <c r="E76" s="776"/>
    </row>
    <row r="77" spans="1:5" ht="13.5" thickBot="1" x14ac:dyDescent="0.3">
      <c r="A77" s="775"/>
      <c r="B77" s="774"/>
      <c r="C77" s="774"/>
      <c r="D77" s="774"/>
      <c r="E77" s="774"/>
    </row>
    <row r="78" spans="1:5" ht="180.75" customHeight="1" thickBot="1" x14ac:dyDescent="0.3">
      <c r="A78" s="773" t="s">
        <v>173</v>
      </c>
      <c r="B78" s="772" t="s">
        <v>536</v>
      </c>
      <c r="C78" s="772" t="s">
        <v>535</v>
      </c>
      <c r="D78" s="772" t="s">
        <v>534</v>
      </c>
      <c r="E78" s="771" t="s">
        <v>533</v>
      </c>
    </row>
    <row r="79" spans="1:5" x14ac:dyDescent="0.25">
      <c r="A79" s="770" t="s">
        <v>532</v>
      </c>
      <c r="B79" s="769"/>
      <c r="C79" s="769"/>
      <c r="D79" s="769"/>
      <c r="E79" s="768"/>
    </row>
    <row r="80" spans="1:5" ht="25.5" x14ac:dyDescent="0.25">
      <c r="A80" s="758" t="s">
        <v>369</v>
      </c>
      <c r="B80" s="757">
        <f>'[1]Nota II.1.1.c'!C66</f>
        <v>423749.74</v>
      </c>
      <c r="C80" s="757">
        <f>'[1]Nota II.1.1.c'!D66</f>
        <v>18780484.579999998</v>
      </c>
      <c r="D80" s="757">
        <f>'[1]Nota II.1.1.c'!E66</f>
        <v>0</v>
      </c>
      <c r="E80" s="756">
        <f>B80+C80+D80</f>
        <v>19204234.319999997</v>
      </c>
    </row>
    <row r="81" spans="1:5" x14ac:dyDescent="0.25">
      <c r="A81" s="755" t="s">
        <v>359</v>
      </c>
      <c r="B81" s="767">
        <f>SUM(B82:B83)</f>
        <v>0</v>
      </c>
      <c r="C81" s="767">
        <f>SUM(C82:C83)</f>
        <v>0</v>
      </c>
      <c r="D81" s="767">
        <f>SUM(D82:D83)</f>
        <v>0</v>
      </c>
      <c r="E81" s="766">
        <f>SUM(E82:E83)</f>
        <v>0</v>
      </c>
    </row>
    <row r="82" spans="1:5" x14ac:dyDescent="0.25">
      <c r="A82" s="765" t="s">
        <v>531</v>
      </c>
      <c r="B82" s="763">
        <f>'[1]Nota II.1.1.c'!C68</f>
        <v>0</v>
      </c>
      <c r="C82" s="763">
        <f>'[1]Nota II.1.1.c'!D68</f>
        <v>0</v>
      </c>
      <c r="D82" s="763">
        <f>'[1]Nota II.1.1.c'!E68</f>
        <v>0</v>
      </c>
      <c r="E82" s="762">
        <f>B82+C82+D82</f>
        <v>0</v>
      </c>
    </row>
    <row r="83" spans="1:5" x14ac:dyDescent="0.25">
      <c r="A83" s="765" t="s">
        <v>530</v>
      </c>
      <c r="B83" s="763">
        <f>'[1]Nota II.1.1.c'!C69</f>
        <v>0</v>
      </c>
      <c r="C83" s="763">
        <f>'[1]Nota II.1.1.c'!D69</f>
        <v>0</v>
      </c>
      <c r="D83" s="763">
        <f>'[1]Nota II.1.1.c'!E69</f>
        <v>0</v>
      </c>
      <c r="E83" s="762">
        <f>B83+C83+D83</f>
        <v>0</v>
      </c>
    </row>
    <row r="84" spans="1:5" x14ac:dyDescent="0.25">
      <c r="A84" s="755" t="s">
        <v>358</v>
      </c>
      <c r="B84" s="767">
        <f>SUM(B85:B87)</f>
        <v>0</v>
      </c>
      <c r="C84" s="767">
        <f>SUM(C85:C87)</f>
        <v>0</v>
      </c>
      <c r="D84" s="767">
        <f>SUM(D85:D87)</f>
        <v>0</v>
      </c>
      <c r="E84" s="766">
        <f>SUM(E85:E87)</f>
        <v>0</v>
      </c>
    </row>
    <row r="85" spans="1:5" x14ac:dyDescent="0.25">
      <c r="A85" s="765" t="s">
        <v>529</v>
      </c>
      <c r="B85" s="763">
        <f>'[1]Nota II.1.1.c'!C71</f>
        <v>0</v>
      </c>
      <c r="C85" s="763">
        <f>'[1]Nota II.1.1.c'!D71</f>
        <v>0</v>
      </c>
      <c r="D85" s="763">
        <f>'[1]Nota II.1.1.c'!E71</f>
        <v>0</v>
      </c>
      <c r="E85" s="762">
        <f>B85+C85+D85</f>
        <v>0</v>
      </c>
    </row>
    <row r="86" spans="1:5" x14ac:dyDescent="0.25">
      <c r="A86" s="765" t="s">
        <v>528</v>
      </c>
      <c r="B86" s="763">
        <f>'[1]Nota II.1.1.c'!C72</f>
        <v>0</v>
      </c>
      <c r="C86" s="763">
        <f>'[1]Nota II.1.1.c'!D72</f>
        <v>0</v>
      </c>
      <c r="D86" s="763">
        <f>'[1]Nota II.1.1.c'!E72</f>
        <v>0</v>
      </c>
      <c r="E86" s="762">
        <f>B86+C86+D86</f>
        <v>0</v>
      </c>
    </row>
    <row r="87" spans="1:5" x14ac:dyDescent="0.25">
      <c r="A87" s="764" t="s">
        <v>527</v>
      </c>
      <c r="B87" s="763">
        <f>'[1]Nota II.1.1.c'!C73</f>
        <v>0</v>
      </c>
      <c r="C87" s="763">
        <f>'[1]Nota II.1.1.c'!D73</f>
        <v>0</v>
      </c>
      <c r="D87" s="763">
        <f>'[1]Nota II.1.1.c'!E73</f>
        <v>0</v>
      </c>
      <c r="E87" s="762">
        <f>B87+C87+D87</f>
        <v>0</v>
      </c>
    </row>
    <row r="88" spans="1:5" ht="26.25" thickBot="1" x14ac:dyDescent="0.3">
      <c r="A88" s="752" t="s">
        <v>361</v>
      </c>
      <c r="B88" s="751">
        <f>B80+B81-B84</f>
        <v>423749.74</v>
      </c>
      <c r="C88" s="751">
        <f>C80+C81-C84</f>
        <v>18780484.579999998</v>
      </c>
      <c r="D88" s="751">
        <f>D80+D81-D84</f>
        <v>0</v>
      </c>
      <c r="E88" s="750">
        <f>E80+E81-E84</f>
        <v>19204234.319999997</v>
      </c>
    </row>
    <row r="89" spans="1:5" x14ac:dyDescent="0.25">
      <c r="A89" s="761" t="s">
        <v>526</v>
      </c>
      <c r="B89" s="760"/>
      <c r="C89" s="760"/>
      <c r="D89" s="760"/>
      <c r="E89" s="759"/>
    </row>
    <row r="90" spans="1:5" x14ac:dyDescent="0.25">
      <c r="A90" s="758" t="s">
        <v>525</v>
      </c>
      <c r="B90" s="757">
        <f>'[1]Nota II.1.1.c'!C76</f>
        <v>0</v>
      </c>
      <c r="C90" s="757">
        <f>'[1]Nota II.1.1.c'!D76</f>
        <v>0</v>
      </c>
      <c r="D90" s="757">
        <f>'[1]Nota II.1.1.c'!E76</f>
        <v>0</v>
      </c>
      <c r="E90" s="756">
        <f>B90+C90+D90</f>
        <v>0</v>
      </c>
    </row>
    <row r="91" spans="1:5" x14ac:dyDescent="0.25">
      <c r="A91" s="755" t="s">
        <v>359</v>
      </c>
      <c r="B91" s="754">
        <f>'[1]Nota II.1.1.c'!C77</f>
        <v>0</v>
      </c>
      <c r="C91" s="754">
        <f>'[1]Nota II.1.1.c'!D77</f>
        <v>0</v>
      </c>
      <c r="D91" s="754">
        <f>'[1]Nota II.1.1.c'!E77</f>
        <v>0</v>
      </c>
      <c r="E91" s="753">
        <f>SUM(B91:D91)</f>
        <v>0</v>
      </c>
    </row>
    <row r="92" spans="1:5" x14ac:dyDescent="0.25">
      <c r="A92" s="755" t="s">
        <v>358</v>
      </c>
      <c r="B92" s="754">
        <f>'[1]Nota II.1.1.c'!C79</f>
        <v>0</v>
      </c>
      <c r="C92" s="754">
        <f>'[1]Nota II.1.1.c'!D79</f>
        <v>0</v>
      </c>
      <c r="D92" s="754">
        <f>'[1]Nota II.1.1.c'!E79</f>
        <v>0</v>
      </c>
      <c r="E92" s="753">
        <f>SUM(B92:D92)</f>
        <v>0</v>
      </c>
    </row>
    <row r="93" spans="1:5" ht="13.5" thickBot="1" x14ac:dyDescent="0.3">
      <c r="A93" s="752" t="s">
        <v>524</v>
      </c>
      <c r="B93" s="751">
        <f>B90+B91-B92</f>
        <v>0</v>
      </c>
      <c r="C93" s="751">
        <f>C90+C91-C92</f>
        <v>0</v>
      </c>
      <c r="D93" s="751">
        <f>D90+D91-D92</f>
        <v>0</v>
      </c>
      <c r="E93" s="750">
        <f>E90+E91-E92</f>
        <v>0</v>
      </c>
    </row>
    <row r="94" spans="1:5" x14ac:dyDescent="0.2">
      <c r="A94" s="749" t="s">
        <v>523</v>
      </c>
      <c r="B94" s="748"/>
      <c r="C94" s="747"/>
      <c r="D94" s="747"/>
      <c r="E94" s="746"/>
    </row>
    <row r="95" spans="1:5" x14ac:dyDescent="0.2">
      <c r="A95" s="745" t="s">
        <v>7</v>
      </c>
      <c r="B95" s="744">
        <f>B80-B90</f>
        <v>423749.74</v>
      </c>
      <c r="C95" s="744">
        <f>C80-C90</f>
        <v>18780484.579999998</v>
      </c>
      <c r="D95" s="744">
        <f>D80-D90</f>
        <v>0</v>
      </c>
      <c r="E95" s="743">
        <f>E80-E90</f>
        <v>19204234.319999997</v>
      </c>
    </row>
    <row r="96" spans="1:5" ht="13.5" thickBot="1" x14ac:dyDescent="0.25">
      <c r="A96" s="742" t="s">
        <v>522</v>
      </c>
      <c r="B96" s="741">
        <f>B88-B93</f>
        <v>423749.74</v>
      </c>
      <c r="C96" s="741">
        <f>C88-C93</f>
        <v>18780484.579999998</v>
      </c>
      <c r="D96" s="741">
        <f>D88-D93</f>
        <v>0</v>
      </c>
      <c r="E96" s="741">
        <f>E88-E93</f>
        <v>19204234.319999997</v>
      </c>
    </row>
    <row r="101" spans="1:9" ht="48" customHeight="1" x14ac:dyDescent="0.2">
      <c r="A101" s="244" t="s">
        <v>521</v>
      </c>
      <c r="B101" s="710"/>
      <c r="C101" s="710"/>
      <c r="D101" s="105"/>
      <c r="E101" s="105"/>
      <c r="F101" s="105"/>
      <c r="G101" s="105"/>
    </row>
    <row r="102" spans="1:9" x14ac:dyDescent="0.2">
      <c r="A102" s="709"/>
      <c r="B102" s="708"/>
      <c r="C102" s="708"/>
    </row>
    <row r="103" spans="1:9" s="362" customFormat="1" ht="13.5" customHeight="1" x14ac:dyDescent="0.2">
      <c r="A103" s="739" t="s">
        <v>520</v>
      </c>
      <c r="B103" s="376"/>
      <c r="C103" s="376"/>
      <c r="E103" s="739"/>
    </row>
    <row r="104" spans="1:9" s="362" customFormat="1" x14ac:dyDescent="0.2">
      <c r="A104" s="739" t="s">
        <v>519</v>
      </c>
      <c r="B104" s="740"/>
      <c r="C104" s="740"/>
      <c r="E104" s="739"/>
    </row>
    <row r="105" spans="1:9" s="362" customFormat="1" x14ac:dyDescent="0.2">
      <c r="A105" s="375"/>
      <c r="B105" s="375"/>
      <c r="C105" s="375"/>
    </row>
    <row r="107" spans="1:9" x14ac:dyDescent="0.2">
      <c r="A107" s="244" t="s">
        <v>518</v>
      </c>
      <c r="B107" s="710"/>
      <c r="C107" s="710"/>
      <c r="D107" s="105"/>
      <c r="E107" s="105"/>
      <c r="F107" s="105"/>
      <c r="G107" s="105"/>
    </row>
    <row r="108" spans="1:9" ht="13.5" thickBot="1" x14ac:dyDescent="0.25">
      <c r="A108" s="709"/>
      <c r="B108" s="708"/>
      <c r="C108" s="708"/>
    </row>
    <row r="109" spans="1:9" ht="13.5" customHeight="1" x14ac:dyDescent="0.2">
      <c r="A109" s="738"/>
      <c r="B109" s="737" t="s">
        <v>517</v>
      </c>
      <c r="C109" s="736"/>
      <c r="D109" s="736"/>
      <c r="E109" s="736"/>
      <c r="F109" s="735"/>
      <c r="G109" s="737" t="s">
        <v>516</v>
      </c>
      <c r="H109" s="736"/>
      <c r="I109" s="735"/>
    </row>
    <row r="110" spans="1:9" ht="38.25" x14ac:dyDescent="0.2">
      <c r="A110" s="734"/>
      <c r="B110" s="733" t="s">
        <v>515</v>
      </c>
      <c r="C110" s="732" t="s">
        <v>514</v>
      </c>
      <c r="D110" s="732" t="s">
        <v>471</v>
      </c>
      <c r="E110" s="732" t="s">
        <v>377</v>
      </c>
      <c r="F110" s="731" t="s">
        <v>513</v>
      </c>
      <c r="G110" s="730" t="s">
        <v>512</v>
      </c>
      <c r="H110" s="729" t="s">
        <v>511</v>
      </c>
      <c r="I110" s="728" t="s">
        <v>374</v>
      </c>
    </row>
    <row r="111" spans="1:9" x14ac:dyDescent="0.2">
      <c r="A111" s="727" t="s">
        <v>7</v>
      </c>
      <c r="B111" s="726">
        <f>'[1]Nota II.1.3'!B60</f>
        <v>0</v>
      </c>
      <c r="C111" s="725">
        <f>'[1]Nota II.1.3'!C60</f>
        <v>21935393.489999998</v>
      </c>
      <c r="D111" s="725">
        <f>'[1]Nota II.1.3'!D60</f>
        <v>0</v>
      </c>
      <c r="E111" s="725">
        <f>'[1]Nota II.1.3'!E60</f>
        <v>48721994.420000002</v>
      </c>
      <c r="F111" s="724">
        <f>'[1]Nota II.1.3'!F60</f>
        <v>0</v>
      </c>
      <c r="G111" s="726">
        <f>'[1]Nota II.1.3'!G60</f>
        <v>46003178.729999997</v>
      </c>
      <c r="H111" s="725">
        <f>'[1]Nota II.1.3'!H60</f>
        <v>0</v>
      </c>
      <c r="I111" s="724">
        <f>'[1]Nota II.1.3'!I60</f>
        <v>0</v>
      </c>
    </row>
    <row r="112" spans="1:9" ht="38.25" x14ac:dyDescent="0.2">
      <c r="A112" s="723" t="s">
        <v>510</v>
      </c>
      <c r="B112" s="722">
        <f>'[1]Nota II.1.3'!B61</f>
        <v>0</v>
      </c>
      <c r="C112" s="719">
        <f>'[1]Nota II.1.3'!C61</f>
        <v>1277968.93</v>
      </c>
      <c r="D112" s="719">
        <f>'[1]Nota II.1.3'!D61</f>
        <v>0</v>
      </c>
      <c r="E112" s="719">
        <f>'[1]Nota II.1.3'!E61</f>
        <v>2959968.37</v>
      </c>
      <c r="F112" s="721">
        <f>'[1]Nota II.1.3'!F61</f>
        <v>0</v>
      </c>
      <c r="G112" s="720">
        <f>'[1]Nota II.1.3'!G61</f>
        <v>21511202.91</v>
      </c>
      <c r="H112" s="719">
        <f>'[1]Nota II.1.3'!H61</f>
        <v>0</v>
      </c>
      <c r="I112" s="718">
        <f>'[1]Nota II.1.3'!I61</f>
        <v>0</v>
      </c>
    </row>
    <row r="113" spans="1:9" ht="38.25" x14ac:dyDescent="0.2">
      <c r="A113" s="723" t="s">
        <v>509</v>
      </c>
      <c r="B113" s="722">
        <f>'[1]Nota II.1.3'!B62</f>
        <v>0</v>
      </c>
      <c r="C113" s="719">
        <f>'[1]Nota II.1.3'!C62</f>
        <v>2133949.5099999998</v>
      </c>
      <c r="D113" s="719">
        <f>'[1]Nota II.1.3'!D62</f>
        <v>0</v>
      </c>
      <c r="E113" s="719">
        <f>'[1]Nota II.1.3'!E62</f>
        <v>0</v>
      </c>
      <c r="F113" s="721">
        <f>'[1]Nota II.1.3'!F62</f>
        <v>0</v>
      </c>
      <c r="G113" s="720">
        <f>'[1]Nota II.1.3'!G62</f>
        <v>12280719.560000001</v>
      </c>
      <c r="H113" s="719">
        <f>'[1]Nota II.1.3'!H62</f>
        <v>0</v>
      </c>
      <c r="I113" s="718">
        <f>'[1]Nota II.1.3'!I62</f>
        <v>0</v>
      </c>
    </row>
    <row r="114" spans="1:9" ht="13.5" thickBot="1" x14ac:dyDescent="0.25">
      <c r="A114" s="717" t="s">
        <v>8</v>
      </c>
      <c r="B114" s="716">
        <f>'[1]Nota II.1.3'!B63</f>
        <v>0</v>
      </c>
      <c r="C114" s="716">
        <f>'[1]Nota II.1.3'!C63</f>
        <v>21079412.91</v>
      </c>
      <c r="D114" s="716">
        <f>'[1]Nota II.1.3'!D63</f>
        <v>0</v>
      </c>
      <c r="E114" s="716">
        <f>'[1]Nota II.1.3'!E63</f>
        <v>51681962.789999999</v>
      </c>
      <c r="F114" s="715">
        <f>'[1]Nota II.1.3'!F63</f>
        <v>0</v>
      </c>
      <c r="G114" s="716">
        <f>'[1]Nota II.1.3'!G63</f>
        <v>55233662.079999998</v>
      </c>
      <c r="H114" s="716">
        <f>'[1]Nota II.1.3'!H63</f>
        <v>0</v>
      </c>
      <c r="I114" s="715">
        <f>'[1]Nota II.1.3'!I63</f>
        <v>0</v>
      </c>
    </row>
    <row r="117" spans="1:9" x14ac:dyDescent="0.2">
      <c r="A117" s="244" t="s">
        <v>508</v>
      </c>
      <c r="B117" s="710"/>
      <c r="C117" s="710"/>
    </row>
    <row r="118" spans="1:9" ht="13.5" thickBot="1" x14ac:dyDescent="0.25">
      <c r="A118" s="709"/>
      <c r="B118" s="708"/>
      <c r="C118" s="708"/>
    </row>
    <row r="119" spans="1:9" ht="30" customHeight="1" x14ac:dyDescent="0.2">
      <c r="A119" s="714" t="s">
        <v>507</v>
      </c>
      <c r="B119" s="705" t="s">
        <v>7</v>
      </c>
      <c r="C119" s="704" t="s">
        <v>8</v>
      </c>
    </row>
    <row r="120" spans="1:9" ht="26.25" thickBot="1" x14ac:dyDescent="0.25">
      <c r="A120" s="713" t="s">
        <v>506</v>
      </c>
      <c r="B120" s="712">
        <f>'[1]Nota II.1.4'!B26</f>
        <v>224246069.03999999</v>
      </c>
      <c r="C120" s="711">
        <f>'[1]Nota II.1.4'!C26</f>
        <v>230044899.18000001</v>
      </c>
    </row>
    <row r="126" spans="1:9" ht="50.25" customHeight="1" x14ac:dyDescent="0.2">
      <c r="A126" s="244" t="s">
        <v>505</v>
      </c>
      <c r="B126" s="710"/>
      <c r="C126" s="710"/>
      <c r="D126" s="105"/>
    </row>
    <row r="127" spans="1:9" ht="13.5" thickBot="1" x14ac:dyDescent="0.25">
      <c r="A127" s="709"/>
      <c r="B127" s="708"/>
      <c r="C127" s="708"/>
    </row>
    <row r="128" spans="1:9" x14ac:dyDescent="0.2">
      <c r="A128" s="707" t="s">
        <v>173</v>
      </c>
      <c r="B128" s="706"/>
      <c r="C128" s="705" t="s">
        <v>7</v>
      </c>
      <c r="D128" s="704" t="s">
        <v>8</v>
      </c>
    </row>
    <row r="129" spans="1:10" ht="66" customHeight="1" x14ac:dyDescent="0.2">
      <c r="A129" s="666" t="s">
        <v>504</v>
      </c>
      <c r="B129" s="703"/>
      <c r="C129" s="702">
        <f>C131+SUM(C132:C135)</f>
        <v>687515.81</v>
      </c>
      <c r="D129" s="701">
        <f>D131+SUM(D132:D135)</f>
        <v>716493.12</v>
      </c>
    </row>
    <row r="130" spans="1:10" x14ac:dyDescent="0.2">
      <c r="A130" s="700" t="s">
        <v>503</v>
      </c>
      <c r="B130" s="699"/>
      <c r="C130" s="698"/>
      <c r="D130" s="697"/>
    </row>
    <row r="131" spans="1:10" x14ac:dyDescent="0.2">
      <c r="A131" s="696" t="s">
        <v>502</v>
      </c>
      <c r="B131" s="695"/>
      <c r="C131" s="694">
        <f>'[1]Nota II.1.5'!B40</f>
        <v>0</v>
      </c>
      <c r="D131" s="693">
        <f>'[1]Nota II.1.5'!C40</f>
        <v>0</v>
      </c>
    </row>
    <row r="132" spans="1:10" x14ac:dyDescent="0.2">
      <c r="A132" s="692" t="s">
        <v>501</v>
      </c>
      <c r="B132" s="691"/>
      <c r="C132" s="694">
        <f>'[1]Nota II.1.5'!B41</f>
        <v>0</v>
      </c>
      <c r="D132" s="693">
        <f>'[1]Nota II.1.5'!C41</f>
        <v>0</v>
      </c>
    </row>
    <row r="133" spans="1:10" x14ac:dyDescent="0.2">
      <c r="A133" s="692" t="s">
        <v>500</v>
      </c>
      <c r="B133" s="691"/>
      <c r="C133" s="694">
        <f>'[1]Nota II.1.5'!B42</f>
        <v>446079.89</v>
      </c>
      <c r="D133" s="693">
        <f>'[1]Nota II.1.5'!C42</f>
        <v>415715.2</v>
      </c>
    </row>
    <row r="134" spans="1:10" x14ac:dyDescent="0.2">
      <c r="A134" s="692" t="s">
        <v>499</v>
      </c>
      <c r="B134" s="691"/>
      <c r="C134" s="690">
        <f>'[1]Nota II.1.5'!B43</f>
        <v>223361</v>
      </c>
      <c r="D134" s="689">
        <f>'[1]Nota II.1.5'!C43</f>
        <v>282703</v>
      </c>
    </row>
    <row r="135" spans="1:10" ht="13.5" thickBot="1" x14ac:dyDescent="0.25">
      <c r="A135" s="688" t="s">
        <v>498</v>
      </c>
      <c r="B135" s="687"/>
      <c r="C135" s="686">
        <f>'[1]Nota II.1.5'!B44</f>
        <v>18074.919999999998</v>
      </c>
      <c r="D135" s="685">
        <f>'[1]Nota II.1.5'!C44</f>
        <v>18074.919999999998</v>
      </c>
    </row>
    <row r="140" spans="1:10" x14ac:dyDescent="0.25">
      <c r="A140" s="125" t="s">
        <v>497</v>
      </c>
      <c r="B140" s="328"/>
      <c r="C140" s="328"/>
      <c r="D140" s="328"/>
      <c r="E140" s="328"/>
      <c r="F140" s="328"/>
      <c r="G140" s="328"/>
      <c r="H140" s="328"/>
      <c r="I140" s="328"/>
    </row>
    <row r="141" spans="1:10" ht="6" customHeight="1" thickBot="1" x14ac:dyDescent="0.3">
      <c r="B141" s="684"/>
      <c r="C141" s="684"/>
      <c r="D141" s="684"/>
      <c r="E141" s="684" t="s">
        <v>496</v>
      </c>
      <c r="F141" s="589"/>
      <c r="G141" s="589"/>
      <c r="H141" s="589"/>
      <c r="I141" s="589"/>
    </row>
    <row r="142" spans="1:10" ht="89.25" customHeight="1" thickBot="1" x14ac:dyDescent="0.3">
      <c r="A142" s="587" t="s">
        <v>492</v>
      </c>
      <c r="B142" s="683"/>
      <c r="C142" s="486" t="s">
        <v>491</v>
      </c>
      <c r="D142" s="678" t="s">
        <v>490</v>
      </c>
      <c r="E142" s="486" t="s">
        <v>489</v>
      </c>
      <c r="F142" s="585" t="s">
        <v>488</v>
      </c>
      <c r="G142" s="486" t="s">
        <v>487</v>
      </c>
      <c r="H142" s="486" t="s">
        <v>495</v>
      </c>
      <c r="I142" s="677" t="s">
        <v>494</v>
      </c>
    </row>
    <row r="143" spans="1:10" x14ac:dyDescent="0.25">
      <c r="A143" s="676" t="s">
        <v>8</v>
      </c>
      <c r="B143" s="675"/>
      <c r="C143" s="674"/>
      <c r="D143" s="674"/>
      <c r="E143" s="674"/>
      <c r="F143" s="674"/>
      <c r="G143" s="674"/>
      <c r="H143" s="674"/>
      <c r="I143" s="673"/>
    </row>
    <row r="144" spans="1:10" ht="15" customHeight="1" x14ac:dyDescent="0.2">
      <c r="A144" s="682" t="s">
        <v>199</v>
      </c>
      <c r="B144" s="681"/>
      <c r="C144" s="679">
        <f>'[1]Nota II.1.6'!C351</f>
        <v>10406</v>
      </c>
      <c r="D144" s="680">
        <f>'[1]Nota II.1.6'!D351</f>
        <v>100</v>
      </c>
      <c r="E144" s="680">
        <f>'[1]Nota II.1.6'!E351</f>
        <v>520300</v>
      </c>
      <c r="F144" s="680">
        <f>'[1]Nota II.1.6'!F351</f>
        <v>0</v>
      </c>
      <c r="G144" s="680">
        <f>'[1]Nota II.1.6'!G351</f>
        <v>520300</v>
      </c>
      <c r="H144" s="680">
        <f>'[1]Nota II.1.6'!H351</f>
        <v>145864.10999999999</v>
      </c>
      <c r="I144" s="680">
        <f>'[1]Nota II.1.6'!I351</f>
        <v>1914483.55</v>
      </c>
      <c r="J144" s="107"/>
    </row>
    <row r="145" spans="1:10" x14ac:dyDescent="0.2">
      <c r="A145" s="668" t="s">
        <v>198</v>
      </c>
      <c r="B145" s="667"/>
      <c r="C145" s="679">
        <f>'[1]Nota II.1.6'!C352</f>
        <v>657835</v>
      </c>
      <c r="D145" s="680">
        <f>'[1]Nota II.1.6'!D352</f>
        <v>100</v>
      </c>
      <c r="E145" s="680">
        <f>'[1]Nota II.1.6'!E352</f>
        <v>328917500</v>
      </c>
      <c r="F145" s="680">
        <f>'[1]Nota II.1.6'!F352</f>
        <v>0</v>
      </c>
      <c r="G145" s="680">
        <f>'[1]Nota II.1.6'!G352</f>
        <v>328917500</v>
      </c>
      <c r="H145" s="680">
        <f>'[1]Nota II.1.6'!H352</f>
        <v>925257.29</v>
      </c>
      <c r="I145" s="680">
        <f>'[1]Nota II.1.6'!I352</f>
        <v>660692358.27999997</v>
      </c>
      <c r="J145" s="107"/>
    </row>
    <row r="146" spans="1:10" ht="26.25" customHeight="1" x14ac:dyDescent="0.2">
      <c r="A146" s="668" t="s">
        <v>197</v>
      </c>
      <c r="B146" s="667"/>
      <c r="C146" s="679">
        <f>'[1]Nota II.1.6'!C353</f>
        <v>585616</v>
      </c>
      <c r="D146" s="680">
        <f>'[1]Nota II.1.6'!D353</f>
        <v>100</v>
      </c>
      <c r="E146" s="680">
        <f>'[1]Nota II.1.6'!E353</f>
        <v>292808000</v>
      </c>
      <c r="F146" s="680">
        <f>'[1]Nota II.1.6'!F353</f>
        <v>0</v>
      </c>
      <c r="G146" s="680">
        <f>'[1]Nota II.1.6'!G353</f>
        <v>292808000</v>
      </c>
      <c r="H146" s="680">
        <f>'[1]Nota II.1.6'!H353</f>
        <v>-41401961.18</v>
      </c>
      <c r="I146" s="680">
        <f>'[1]Nota II.1.6'!I353</f>
        <v>704028218.19000006</v>
      </c>
      <c r="J146" s="107"/>
    </row>
    <row r="147" spans="1:10" ht="15" customHeight="1" x14ac:dyDescent="0.2">
      <c r="A147" s="668" t="s">
        <v>196</v>
      </c>
      <c r="B147" s="667"/>
      <c r="C147" s="679">
        <f>'[1]Nota II.1.6'!C354</f>
        <v>361739</v>
      </c>
      <c r="D147" s="680">
        <f>'[1]Nota II.1.6'!D354</f>
        <v>100</v>
      </c>
      <c r="E147" s="680">
        <f>'[1]Nota II.1.6'!E354</f>
        <v>180869500</v>
      </c>
      <c r="F147" s="680">
        <f>'[1]Nota II.1.6'!F354</f>
        <v>0</v>
      </c>
      <c r="G147" s="680">
        <f>'[1]Nota II.1.6'!G354</f>
        <v>180869500</v>
      </c>
      <c r="H147" s="680">
        <f>'[1]Nota II.1.6'!H354</f>
        <v>6029410.3300000001</v>
      </c>
      <c r="I147" s="680">
        <f>'[1]Nota II.1.6'!I354</f>
        <v>287739351.24000001</v>
      </c>
      <c r="J147" s="107"/>
    </row>
    <row r="148" spans="1:10" ht="15" customHeight="1" x14ac:dyDescent="0.2">
      <c r="A148" s="668" t="s">
        <v>195</v>
      </c>
      <c r="B148" s="667"/>
      <c r="C148" s="679">
        <f>'[1]Nota II.1.6'!C373</f>
        <v>4600</v>
      </c>
      <c r="D148" s="680">
        <f>'[1]Nota II.1.6'!D373</f>
        <v>100</v>
      </c>
      <c r="E148" s="680">
        <f>'[1]Nota II.1.6'!E373</f>
        <v>2300000</v>
      </c>
      <c r="F148" s="680">
        <f>'[1]Nota II.1.6'!F373</f>
        <v>0</v>
      </c>
      <c r="G148" s="680">
        <f>'[1]Nota II.1.6'!G373</f>
        <v>2300000</v>
      </c>
      <c r="H148" s="680">
        <f>'[1]Nota II.1.6'!H373</f>
        <v>-1544700.43</v>
      </c>
      <c r="I148" s="680">
        <f>'[1]Nota II.1.6'!I373</f>
        <v>3646619.32</v>
      </c>
      <c r="J148" s="107"/>
    </row>
    <row r="149" spans="1:10" ht="26.45" customHeight="1" x14ac:dyDescent="0.2">
      <c r="A149" s="668" t="s">
        <v>194</v>
      </c>
      <c r="B149" s="667"/>
      <c r="C149" s="679">
        <f>'[1]Nota II.1.6'!C355</f>
        <v>27345751</v>
      </c>
      <c r="D149" s="680">
        <f>'[1]Nota II.1.6'!D355</f>
        <v>100</v>
      </c>
      <c r="E149" s="680">
        <f>'[1]Nota II.1.6'!E355</f>
        <v>2734575100</v>
      </c>
      <c r="F149" s="680">
        <f>'[1]Nota II.1.6'!F355</f>
        <v>0</v>
      </c>
      <c r="G149" s="680">
        <f>'[1]Nota II.1.6'!G355</f>
        <v>2734575100</v>
      </c>
      <c r="H149" s="680">
        <f>'[1]Nota II.1.6'!H355</f>
        <v>-99679189.819999993</v>
      </c>
      <c r="I149" s="680">
        <f>'[1]Nota II.1.6'!I355</f>
        <v>4521469471.0299997</v>
      </c>
      <c r="J149" s="107"/>
    </row>
    <row r="150" spans="1:10" x14ac:dyDescent="0.2">
      <c r="A150" s="668" t="s">
        <v>193</v>
      </c>
      <c r="B150" s="667"/>
      <c r="C150" s="679">
        <f>'[1]Nota II.1.6'!C356</f>
        <v>1133516</v>
      </c>
      <c r="D150" s="680">
        <f>'[1]Nota II.1.6'!D356</f>
        <v>100</v>
      </c>
      <c r="E150" s="680">
        <f>'[1]Nota II.1.6'!E356</f>
        <v>566758000</v>
      </c>
      <c r="F150" s="680">
        <f>'[1]Nota II.1.6'!F356</f>
        <v>0</v>
      </c>
      <c r="G150" s="680">
        <f>'[1]Nota II.1.6'!G356</f>
        <v>566758000</v>
      </c>
      <c r="H150" s="680">
        <f>'[1]Nota II.1.6'!H356</f>
        <v>2737625.4</v>
      </c>
      <c r="I150" s="680">
        <f>'[1]Nota II.1.6'!I356</f>
        <v>762707269.16999996</v>
      </c>
      <c r="J150" s="107"/>
    </row>
    <row r="151" spans="1:10" ht="24" customHeight="1" x14ac:dyDescent="0.2">
      <c r="A151" s="668" t="s">
        <v>192</v>
      </c>
      <c r="B151" s="667"/>
      <c r="C151" s="679">
        <f>'[1]Nota II.1.6'!C357</f>
        <v>10000</v>
      </c>
      <c r="D151" s="680">
        <f>'[1]Nota II.1.6'!D357</f>
        <v>100</v>
      </c>
      <c r="E151" s="680">
        <f>'[1]Nota II.1.6'!E357</f>
        <v>5000000</v>
      </c>
      <c r="F151" s="680">
        <f>'[1]Nota II.1.6'!F357</f>
        <v>0</v>
      </c>
      <c r="G151" s="680">
        <f>'[1]Nota II.1.6'!G357</f>
        <v>5000000</v>
      </c>
      <c r="H151" s="680">
        <f>'[1]Nota II.1.6'!H357</f>
        <v>2778632.62</v>
      </c>
      <c r="I151" s="680">
        <f>'[1]Nota II.1.6'!I357</f>
        <v>25602832.940000001</v>
      </c>
      <c r="J151" s="107"/>
    </row>
    <row r="152" spans="1:10" x14ac:dyDescent="0.2">
      <c r="A152" s="668" t="s">
        <v>483</v>
      </c>
      <c r="B152" s="667"/>
      <c r="C152" s="679">
        <f>'[1]Nota II.1.6'!C358</f>
        <v>24601</v>
      </c>
      <c r="D152" s="680">
        <f>'[1]Nota II.1.6'!D358</f>
        <v>100</v>
      </c>
      <c r="E152" s="680">
        <f>'[1]Nota II.1.6'!E358</f>
        <v>1230050</v>
      </c>
      <c r="F152" s="680">
        <f>'[1]Nota II.1.6'!F358</f>
        <v>0</v>
      </c>
      <c r="G152" s="680">
        <f>'[1]Nota II.1.6'!G358</f>
        <v>1230050</v>
      </c>
      <c r="H152" s="680">
        <f>'[1]Nota II.1.6'!H358</f>
        <v>509297.94</v>
      </c>
      <c r="I152" s="680">
        <f>'[1]Nota II.1.6'!I358</f>
        <v>7712522.6900000004</v>
      </c>
      <c r="J152" s="107"/>
    </row>
    <row r="153" spans="1:10" ht="15" customHeight="1" x14ac:dyDescent="0.2">
      <c r="A153" s="668" t="s">
        <v>482</v>
      </c>
      <c r="B153" s="667"/>
      <c r="C153" s="679">
        <f>'[1]Nota II.1.6'!C359</f>
        <v>80500</v>
      </c>
      <c r="D153" s="680">
        <f>'[1]Nota II.1.6'!D359</f>
        <v>100</v>
      </c>
      <c r="E153" s="680">
        <f>'[1]Nota II.1.6'!E359</f>
        <v>80500000</v>
      </c>
      <c r="F153" s="680">
        <f>'[1]Nota II.1.6'!F359</f>
        <v>0</v>
      </c>
      <c r="G153" s="680">
        <f>'[1]Nota II.1.6'!G359</f>
        <v>80500000</v>
      </c>
      <c r="H153" s="680">
        <f>'[1]Nota II.1.6'!H359</f>
        <v>470914.08</v>
      </c>
      <c r="I153" s="680">
        <f>'[1]Nota II.1.6'!I359</f>
        <v>116730763.02</v>
      </c>
      <c r="J153" s="107"/>
    </row>
    <row r="154" spans="1:10" x14ac:dyDescent="0.2">
      <c r="A154" s="668" t="s">
        <v>182</v>
      </c>
      <c r="B154" s="667"/>
      <c r="C154" s="679">
        <f>'[1]Nota II.1.6'!C360</f>
        <v>229769</v>
      </c>
      <c r="D154" s="680">
        <f>'[1]Nota II.1.6'!D360</f>
        <v>100</v>
      </c>
      <c r="E154" s="680">
        <f>'[1]Nota II.1.6'!E360</f>
        <v>229769000</v>
      </c>
      <c r="F154" s="680">
        <f>'[1]Nota II.1.6'!F360</f>
        <v>0</v>
      </c>
      <c r="G154" s="680">
        <f>'[1]Nota II.1.6'!G360</f>
        <v>229769000</v>
      </c>
      <c r="H154" s="680">
        <f>'[1]Nota II.1.6'!H360</f>
        <v>7427687.3799999999</v>
      </c>
      <c r="I154" s="680">
        <f>'[1]Nota II.1.6'!I360</f>
        <v>304608692</v>
      </c>
      <c r="J154" s="107"/>
    </row>
    <row r="155" spans="1:10" ht="13.5" customHeight="1" x14ac:dyDescent="0.2">
      <c r="A155" s="668" t="s">
        <v>181</v>
      </c>
      <c r="B155" s="667"/>
      <c r="C155" s="679">
        <f>'[1]Nota II.1.6'!C361</f>
        <v>191261</v>
      </c>
      <c r="D155" s="680">
        <f>'[1]Nota II.1.6'!D361</f>
        <v>100</v>
      </c>
      <c r="E155" s="680">
        <f>'[1]Nota II.1.6'!E361</f>
        <v>191261000</v>
      </c>
      <c r="F155" s="680">
        <f>'[1]Nota II.1.6'!F361</f>
        <v>0</v>
      </c>
      <c r="G155" s="680">
        <f>'[1]Nota II.1.6'!G361</f>
        <v>191261000</v>
      </c>
      <c r="H155" s="680">
        <f>'[1]Nota II.1.6'!H361</f>
        <v>1256544.1299999999</v>
      </c>
      <c r="I155" s="680">
        <f>'[1]Nota II.1.6'!I361</f>
        <v>252677585.22</v>
      </c>
      <c r="J155" s="107"/>
    </row>
    <row r="156" spans="1:10" ht="13.5" customHeight="1" x14ac:dyDescent="0.2">
      <c r="A156" s="668" t="s">
        <v>180</v>
      </c>
      <c r="B156" s="667"/>
      <c r="C156" s="679">
        <f>'[1]Nota II.1.6'!C362</f>
        <v>2556550</v>
      </c>
      <c r="D156" s="680">
        <f>'[1]Nota II.1.6'!D362</f>
        <v>100</v>
      </c>
      <c r="E156" s="680">
        <f>'[1]Nota II.1.6'!E362</f>
        <v>1278275000</v>
      </c>
      <c r="F156" s="680">
        <f>'[1]Nota II.1.6'!F362</f>
        <v>0</v>
      </c>
      <c r="G156" s="680">
        <f>'[1]Nota II.1.6'!G362</f>
        <v>1278275000</v>
      </c>
      <c r="H156" s="680">
        <f>'[1]Nota II.1.6'!H362</f>
        <v>11098829.140000001</v>
      </c>
      <c r="I156" s="680">
        <f>'[1]Nota II.1.6'!I362</f>
        <v>1653805497.1400001</v>
      </c>
      <c r="J156" s="107"/>
    </row>
    <row r="157" spans="1:10" x14ac:dyDescent="0.2">
      <c r="A157" s="668" t="s">
        <v>179</v>
      </c>
      <c r="B157" s="667"/>
      <c r="C157" s="679">
        <f>'[1]Nota II.1.6'!C363</f>
        <v>6600</v>
      </c>
      <c r="D157" s="680">
        <f>'[1]Nota II.1.6'!D363</f>
        <v>100</v>
      </c>
      <c r="E157" s="680">
        <f>'[1]Nota II.1.6'!E363</f>
        <v>3300000</v>
      </c>
      <c r="F157" s="680">
        <f>'[1]Nota II.1.6'!F363</f>
        <v>0</v>
      </c>
      <c r="G157" s="680">
        <f>'[1]Nota II.1.6'!G363</f>
        <v>3300000</v>
      </c>
      <c r="H157" s="680">
        <f>'[1]Nota II.1.6'!H363</f>
        <v>211558.55</v>
      </c>
      <c r="I157" s="680">
        <f>'[1]Nota II.1.6'!I363</f>
        <v>5213208.5</v>
      </c>
      <c r="J157" s="107"/>
    </row>
    <row r="158" spans="1:10" ht="15" customHeight="1" x14ac:dyDescent="0.2">
      <c r="A158" s="668" t="s">
        <v>200</v>
      </c>
      <c r="B158" s="667"/>
      <c r="C158" s="679">
        <f>'[1]Nota II.1.6'!C364</f>
        <v>3650</v>
      </c>
      <c r="D158" s="680">
        <f>'[1]Nota II.1.6'!D364</f>
        <v>100</v>
      </c>
      <c r="E158" s="680">
        <f>'[1]Nota II.1.6'!E364</f>
        <v>3650000</v>
      </c>
      <c r="F158" s="680">
        <f>'[1]Nota II.1.6'!F364</f>
        <v>0</v>
      </c>
      <c r="G158" s="680">
        <f>'[1]Nota II.1.6'!G364</f>
        <v>3650000</v>
      </c>
      <c r="H158" s="680">
        <f>'[1]Nota II.1.6'!H364</f>
        <v>266943</v>
      </c>
      <c r="I158" s="680">
        <f>'[1]Nota II.1.6'!I364</f>
        <v>21717749.379999999</v>
      </c>
      <c r="J158" s="107"/>
    </row>
    <row r="159" spans="1:10" ht="15" customHeight="1" x14ac:dyDescent="0.2">
      <c r="A159" s="668" t="s">
        <v>185</v>
      </c>
      <c r="B159" s="667"/>
      <c r="C159" s="679">
        <f>'[1]Nota II.1.6'!C365</f>
        <v>24520</v>
      </c>
      <c r="D159" s="680">
        <f>'[1]Nota II.1.6'!D365</f>
        <v>100</v>
      </c>
      <c r="E159" s="680">
        <f>'[1]Nota II.1.6'!E365</f>
        <v>24520000</v>
      </c>
      <c r="F159" s="680">
        <f>'[1]Nota II.1.6'!F365</f>
        <v>0</v>
      </c>
      <c r="G159" s="680">
        <f>'[1]Nota II.1.6'!G365</f>
        <v>24520000</v>
      </c>
      <c r="H159" s="680">
        <f>'[1]Nota II.1.6'!H365</f>
        <v>-3585186.34</v>
      </c>
      <c r="I159" s="680">
        <f>'[1]Nota II.1.6'!I365</f>
        <v>42196339.560000002</v>
      </c>
      <c r="J159" s="107"/>
    </row>
    <row r="160" spans="1:10" ht="15" customHeight="1" x14ac:dyDescent="0.2">
      <c r="A160" s="668" t="s">
        <v>190</v>
      </c>
      <c r="B160" s="667"/>
      <c r="C160" s="679">
        <f>'[1]Nota II.1.6'!C366</f>
        <v>63465</v>
      </c>
      <c r="D160" s="680">
        <f>'[1]Nota II.1.6'!D366</f>
        <v>100</v>
      </c>
      <c r="E160" s="680">
        <f>'[1]Nota II.1.6'!E366</f>
        <v>63465000</v>
      </c>
      <c r="F160" s="680">
        <f>'[1]Nota II.1.6'!F366</f>
        <v>0</v>
      </c>
      <c r="G160" s="680">
        <f>'[1]Nota II.1.6'!G366</f>
        <v>63465000</v>
      </c>
      <c r="H160" s="680">
        <f>'[1]Nota II.1.6'!H366</f>
        <v>1430922.29</v>
      </c>
      <c r="I160" s="680">
        <f>'[1]Nota II.1.6'!I366</f>
        <v>65769251.950000003</v>
      </c>
      <c r="J160" s="107"/>
    </row>
    <row r="161" spans="1:10" ht="15" customHeight="1" x14ac:dyDescent="0.2">
      <c r="A161" s="668" t="s">
        <v>186</v>
      </c>
      <c r="B161" s="667"/>
      <c r="C161" s="679">
        <f>'[1]Nota II.1.6'!C374</f>
        <v>19375</v>
      </c>
      <c r="D161" s="680">
        <f>'[1]Nota II.1.6'!D374</f>
        <v>100</v>
      </c>
      <c r="E161" s="680">
        <f>'[1]Nota II.1.6'!E374</f>
        <v>19375000</v>
      </c>
      <c r="F161" s="680">
        <f>'[1]Nota II.1.6'!F374</f>
        <v>13214418.199999999</v>
      </c>
      <c r="G161" s="680">
        <f>'[1]Nota II.1.6'!G374</f>
        <v>6160581.7999999998</v>
      </c>
      <c r="H161" s="680">
        <f>'[1]Nota II.1.6'!H374</f>
        <v>-14992389.09</v>
      </c>
      <c r="I161" s="680">
        <f>'[1]Nota II.1.6'!I374</f>
        <v>6160581.7999999998</v>
      </c>
      <c r="J161" s="107"/>
    </row>
    <row r="162" spans="1:10" x14ac:dyDescent="0.2">
      <c r="A162" s="668" t="s">
        <v>187</v>
      </c>
      <c r="B162" s="667"/>
      <c r="C162" s="679">
        <f>'[1]Nota II.1.6'!C367</f>
        <v>22505</v>
      </c>
      <c r="D162" s="680">
        <f>'[1]Nota II.1.6'!D367</f>
        <v>100</v>
      </c>
      <c r="E162" s="680">
        <f>'[1]Nota II.1.6'!E367</f>
        <v>22505000</v>
      </c>
      <c r="F162" s="680">
        <f>'[1]Nota II.1.6'!F367</f>
        <v>0</v>
      </c>
      <c r="G162" s="680">
        <f>'[1]Nota II.1.6'!G367</f>
        <v>22505000</v>
      </c>
      <c r="H162" s="680">
        <f>'[1]Nota II.1.6'!H367</f>
        <v>-10126264.16</v>
      </c>
      <c r="I162" s="680">
        <f>'[1]Nota II.1.6'!I367</f>
        <v>24757706.969999999</v>
      </c>
      <c r="J162" s="107"/>
    </row>
    <row r="163" spans="1:10" ht="15" customHeight="1" x14ac:dyDescent="0.2">
      <c r="A163" s="668" t="s">
        <v>188</v>
      </c>
      <c r="B163" s="667"/>
      <c r="C163" s="679">
        <f>'[1]Nota II.1.6'!C368</f>
        <v>33422</v>
      </c>
      <c r="D163" s="680">
        <f>'[1]Nota II.1.6'!D368</f>
        <v>100</v>
      </c>
      <c r="E163" s="680">
        <f>'[1]Nota II.1.6'!E368</f>
        <v>33422000</v>
      </c>
      <c r="F163" s="680">
        <f>'[1]Nota II.1.6'!F368</f>
        <v>33053845.52</v>
      </c>
      <c r="G163" s="680">
        <f>'[1]Nota II.1.6'!G368</f>
        <v>368154.48</v>
      </c>
      <c r="H163" s="680">
        <f>'[1]Nota II.1.6'!H368</f>
        <v>-43005287.789999999</v>
      </c>
      <c r="I163" s="680">
        <f>'[1]Nota II.1.6'!I368</f>
        <v>368154.48</v>
      </c>
      <c r="J163" s="107"/>
    </row>
    <row r="164" spans="1:10" ht="13.5" customHeight="1" x14ac:dyDescent="0.2">
      <c r="A164" s="668" t="s">
        <v>480</v>
      </c>
      <c r="B164" s="667"/>
      <c r="C164" s="679">
        <f>'[1]Nota II.1.6'!C369</f>
        <v>20111</v>
      </c>
      <c r="D164" s="680">
        <f>'[1]Nota II.1.6'!D369</f>
        <v>100</v>
      </c>
      <c r="E164" s="680">
        <f>'[1]Nota II.1.6'!E369</f>
        <v>20111000</v>
      </c>
      <c r="F164" s="680">
        <f>'[1]Nota II.1.6'!F369</f>
        <v>984868.06</v>
      </c>
      <c r="G164" s="680">
        <f>'[1]Nota II.1.6'!G369</f>
        <v>19126131.940000001</v>
      </c>
      <c r="H164" s="680">
        <f>'[1]Nota II.1.6'!H369</f>
        <v>20670.02</v>
      </c>
      <c r="I164" s="680">
        <f>'[1]Nota II.1.6'!I369</f>
        <v>19126131.940000001</v>
      </c>
      <c r="J164" s="107"/>
    </row>
    <row r="165" spans="1:10" ht="24.75" customHeight="1" x14ac:dyDescent="0.2">
      <c r="A165" s="668" t="s">
        <v>183</v>
      </c>
      <c r="B165" s="667"/>
      <c r="C165" s="679">
        <f>'[1]Nota II.1.6'!C375</f>
        <v>3100</v>
      </c>
      <c r="D165" s="680">
        <f>'[1]Nota II.1.6'!D375</f>
        <v>100</v>
      </c>
      <c r="E165" s="680">
        <f>'[1]Nota II.1.6'!E375</f>
        <v>3100000</v>
      </c>
      <c r="F165" s="680">
        <f>'[1]Nota II.1.6'!F375</f>
        <v>0</v>
      </c>
      <c r="G165" s="680">
        <f>'[1]Nota II.1.6'!G375</f>
        <v>3100000</v>
      </c>
      <c r="H165" s="680">
        <f>'[1]Nota II.1.6'!H375</f>
        <v>3367234.77</v>
      </c>
      <c r="I165" s="680">
        <f>'[1]Nota II.1.6'!I375</f>
        <v>17848776.059999999</v>
      </c>
      <c r="J165" s="107"/>
    </row>
    <row r="166" spans="1:10" ht="13.5" customHeight="1" x14ac:dyDescent="0.2">
      <c r="A166" s="668" t="s">
        <v>481</v>
      </c>
      <c r="B166" s="667"/>
      <c r="C166" s="679">
        <f>'[1]Nota II.1.6'!C376</f>
        <v>21801</v>
      </c>
      <c r="D166" s="680">
        <f>'[1]Nota II.1.6'!D376</f>
        <v>100</v>
      </c>
      <c r="E166" s="680">
        <f>'[1]Nota II.1.6'!E376</f>
        <v>21801000</v>
      </c>
      <c r="F166" s="680">
        <f>'[1]Nota II.1.6'!F376</f>
        <v>85091.02</v>
      </c>
      <c r="G166" s="680">
        <f>'[1]Nota II.1.6'!G376</f>
        <v>21715908.98</v>
      </c>
      <c r="H166" s="680">
        <f>'[1]Nota II.1.6'!H376</f>
        <v>-21113678.890000001</v>
      </c>
      <c r="I166" s="680">
        <f>'[1]Nota II.1.6'!I376</f>
        <v>21715908.98</v>
      </c>
      <c r="J166" s="107"/>
    </row>
    <row r="167" spans="1:10" ht="15" customHeight="1" x14ac:dyDescent="0.2">
      <c r="A167" s="668" t="s">
        <v>479</v>
      </c>
      <c r="B167" s="667"/>
      <c r="C167" s="679">
        <f>'[1]Nota II.1.6'!C370</f>
        <v>100</v>
      </c>
      <c r="D167" s="680">
        <f>'[1]Nota II.1.6'!D370</f>
        <v>100</v>
      </c>
      <c r="E167" s="680">
        <f>'[1]Nota II.1.6'!E370</f>
        <v>50000</v>
      </c>
      <c r="F167" s="680">
        <f>'[1]Nota II.1.6'!F370</f>
        <v>50000</v>
      </c>
      <c r="G167" s="680">
        <f>'[1]Nota II.1.6'!G370</f>
        <v>0</v>
      </c>
      <c r="H167" s="680"/>
      <c r="I167" s="680"/>
      <c r="J167" s="107"/>
    </row>
    <row r="168" spans="1:10" ht="15" customHeight="1" x14ac:dyDescent="0.2">
      <c r="A168" s="668" t="s">
        <v>478</v>
      </c>
      <c r="B168" s="667"/>
      <c r="C168" s="679">
        <f>'[1]Nota II.1.6'!C371</f>
        <v>16000</v>
      </c>
      <c r="D168" s="680">
        <f>'[1]Nota II.1.6'!D371</f>
        <v>40.22</v>
      </c>
      <c r="E168" s="680">
        <f>'[1]Nota II.1.6'!E371</f>
        <v>16000000</v>
      </c>
      <c r="F168" s="680">
        <f>'[1]Nota II.1.6'!F371</f>
        <v>7930122.0700000003</v>
      </c>
      <c r="G168" s="680">
        <f>'[1]Nota II.1.6'!G371</f>
        <v>8069877.9299999997</v>
      </c>
      <c r="H168" s="680">
        <f>'[1]Nota II.1.6'!H371</f>
        <v>-356234.76</v>
      </c>
      <c r="I168" s="680">
        <f>'[1]Nota II.1.6'!I371</f>
        <v>20065247.109999999</v>
      </c>
      <c r="J168" s="107"/>
    </row>
    <row r="169" spans="1:10" ht="15" customHeight="1" thickBot="1" x14ac:dyDescent="0.25">
      <c r="A169" s="664" t="s">
        <v>477</v>
      </c>
      <c r="B169" s="663"/>
      <c r="C169" s="679">
        <f>'[1]Nota II.1.6'!C372</f>
        <v>2795</v>
      </c>
      <c r="D169" s="680">
        <f>'[1]Nota II.1.6'!D372</f>
        <v>0</v>
      </c>
      <c r="E169" s="680">
        <f>'[1]Nota II.1.6'!E372</f>
        <v>120241.86</v>
      </c>
      <c r="F169" s="680">
        <f>'[1]Nota II.1.6'!F372</f>
        <v>-84682.79</v>
      </c>
      <c r="G169" s="680">
        <f>'[1]Nota II.1.6'!G372</f>
        <v>204924.65</v>
      </c>
      <c r="H169" s="679"/>
      <c r="I169" s="679"/>
      <c r="J169" s="107"/>
    </row>
    <row r="170" spans="1:10" ht="15.75" customHeight="1" thickBot="1" x14ac:dyDescent="0.3">
      <c r="A170" s="660" t="s">
        <v>176</v>
      </c>
      <c r="B170" s="659"/>
      <c r="C170" s="657"/>
      <c r="D170" s="657"/>
      <c r="E170" s="657">
        <f>SUM(E144:E169)</f>
        <v>6124202691.8599997</v>
      </c>
      <c r="F170" s="657">
        <f>SUM(F144:F169)</f>
        <v>55233662.080000006</v>
      </c>
      <c r="G170" s="657">
        <f>SUM(G144:G169)</f>
        <v>6068969029.7799988</v>
      </c>
      <c r="H170" s="657">
        <f>SUM(H144:H169)</f>
        <v>-197127501.40999997</v>
      </c>
      <c r="I170" s="657">
        <f>SUM(I144:I169)</f>
        <v>9548274720.5199966</v>
      </c>
    </row>
    <row r="171" spans="1:10" x14ac:dyDescent="0.25">
      <c r="A171" s="125"/>
      <c r="B171" s="328"/>
      <c r="C171" s="328"/>
      <c r="D171" s="328"/>
      <c r="E171" s="328"/>
      <c r="F171" s="328"/>
      <c r="G171" s="328"/>
      <c r="H171" s="328"/>
      <c r="I171" s="328"/>
    </row>
    <row r="172" spans="1:10" x14ac:dyDescent="0.25">
      <c r="A172" s="327"/>
      <c r="B172" s="115"/>
      <c r="C172" s="115"/>
      <c r="D172" s="115"/>
      <c r="E172" s="115"/>
      <c r="F172" s="115"/>
      <c r="G172" s="115"/>
      <c r="H172" s="115"/>
      <c r="I172" s="115"/>
    </row>
    <row r="173" spans="1:10" x14ac:dyDescent="0.25">
      <c r="A173" s="125" t="s">
        <v>493</v>
      </c>
      <c r="B173" s="328"/>
      <c r="C173" s="328"/>
      <c r="D173" s="328"/>
      <c r="E173" s="328"/>
      <c r="F173" s="328"/>
      <c r="G173" s="328"/>
      <c r="H173" s="328"/>
      <c r="I173" s="328"/>
    </row>
    <row r="174" spans="1:10" ht="8.4499999999999993" customHeight="1" thickBot="1" x14ac:dyDescent="0.3">
      <c r="A174" s="125"/>
      <c r="B174" s="328"/>
      <c r="C174" s="328"/>
      <c r="D174" s="328"/>
      <c r="E174" s="328"/>
      <c r="F174" s="328"/>
      <c r="G174" s="328"/>
      <c r="H174" s="328"/>
      <c r="I174" s="328"/>
    </row>
    <row r="175" spans="1:10" ht="87.75" customHeight="1" thickBot="1" x14ac:dyDescent="0.3">
      <c r="A175" s="587" t="s">
        <v>492</v>
      </c>
      <c r="B175" s="586"/>
      <c r="C175" s="486" t="s">
        <v>491</v>
      </c>
      <c r="D175" s="678" t="s">
        <v>490</v>
      </c>
      <c r="E175" s="486" t="s">
        <v>489</v>
      </c>
      <c r="F175" s="585" t="s">
        <v>488</v>
      </c>
      <c r="G175" s="486" t="s">
        <v>487</v>
      </c>
      <c r="H175" s="486" t="s">
        <v>486</v>
      </c>
      <c r="I175" s="677" t="s">
        <v>485</v>
      </c>
      <c r="J175" s="300"/>
    </row>
    <row r="176" spans="1:10" x14ac:dyDescent="0.25">
      <c r="A176" s="676" t="s">
        <v>7</v>
      </c>
      <c r="B176" s="675"/>
      <c r="C176" s="674"/>
      <c r="D176" s="674"/>
      <c r="E176" s="674"/>
      <c r="F176" s="674"/>
      <c r="G176" s="674"/>
      <c r="H176" s="674"/>
      <c r="I176" s="673"/>
      <c r="J176" s="300"/>
    </row>
    <row r="177" spans="1:10" x14ac:dyDescent="0.2">
      <c r="A177" s="672" t="s">
        <v>199</v>
      </c>
      <c r="B177" s="671"/>
      <c r="C177" s="662">
        <f>'[1]Nota II.1.6'!C379</f>
        <v>10406</v>
      </c>
      <c r="D177" s="661">
        <f>'[1]Nota II.1.6'!D379</f>
        <v>100</v>
      </c>
      <c r="E177" s="661">
        <f>'[1]Nota II.1.6'!E379</f>
        <v>520300</v>
      </c>
      <c r="F177" s="661">
        <f>'[1]Nota II.1.6'!F379</f>
        <v>0</v>
      </c>
      <c r="G177" s="661">
        <f>'[1]Nota II.1.6'!G379</f>
        <v>520300</v>
      </c>
      <c r="H177" s="661">
        <f>'[1]Nota II.1.6'!H379</f>
        <v>-185696.53</v>
      </c>
      <c r="I177" s="661">
        <f>'[1]Nota II.1.6'!I379</f>
        <v>1768619.44</v>
      </c>
      <c r="J177" s="107"/>
    </row>
    <row r="178" spans="1:10" ht="26.25" customHeight="1" x14ac:dyDescent="0.2">
      <c r="A178" s="666" t="s">
        <v>197</v>
      </c>
      <c r="B178" s="665"/>
      <c r="C178" s="662">
        <f>'[1]Nota II.1.6'!C381</f>
        <v>585616</v>
      </c>
      <c r="D178" s="661">
        <f>'[1]Nota II.1.6'!D381</f>
        <v>100</v>
      </c>
      <c r="E178" s="661">
        <f>'[1]Nota II.1.6'!E381</f>
        <v>292808000</v>
      </c>
      <c r="F178" s="661">
        <f>'[1]Nota II.1.6'!F381</f>
        <v>0</v>
      </c>
      <c r="G178" s="661">
        <f>'[1]Nota II.1.6'!G381</f>
        <v>292808000</v>
      </c>
      <c r="H178" s="661">
        <f>'[1]Nota II.1.6'!H381</f>
        <v>5423723.7000000002</v>
      </c>
      <c r="I178" s="661">
        <f>'[1]Nota II.1.6'!I381</f>
        <v>660192978.23000002</v>
      </c>
      <c r="J178" s="107"/>
    </row>
    <row r="179" spans="1:10" ht="15" customHeight="1" x14ac:dyDescent="0.2">
      <c r="A179" s="666" t="s">
        <v>196</v>
      </c>
      <c r="B179" s="665"/>
      <c r="C179" s="662">
        <f>'[1]Nota II.1.6'!C382</f>
        <v>461782</v>
      </c>
      <c r="D179" s="661">
        <f>'[1]Nota II.1.6'!D382</f>
        <v>100</v>
      </c>
      <c r="E179" s="661">
        <f>'[1]Nota II.1.6'!E382</f>
        <v>230891000</v>
      </c>
      <c r="F179" s="661">
        <f>'[1]Nota II.1.6'!F382</f>
        <v>0</v>
      </c>
      <c r="G179" s="661">
        <f>'[1]Nota II.1.6'!G382</f>
        <v>230891000</v>
      </c>
      <c r="H179" s="661">
        <f>'[1]Nota II.1.6'!H382</f>
        <v>19294342.690000001</v>
      </c>
      <c r="I179" s="661">
        <f>'[1]Nota II.1.6'!I382</f>
        <v>331781440.91000003</v>
      </c>
      <c r="J179" s="107"/>
    </row>
    <row r="180" spans="1:10" ht="15" customHeight="1" x14ac:dyDescent="0.2">
      <c r="A180" s="666" t="s">
        <v>198</v>
      </c>
      <c r="B180" s="665"/>
      <c r="C180" s="662">
        <f>'[1]Nota II.1.6'!C380</f>
        <v>657835</v>
      </c>
      <c r="D180" s="661">
        <f>'[1]Nota II.1.6'!D380</f>
        <v>100</v>
      </c>
      <c r="E180" s="661">
        <f>'[1]Nota II.1.6'!E380</f>
        <v>328917500</v>
      </c>
      <c r="F180" s="661">
        <f>'[1]Nota II.1.6'!F380</f>
        <v>0</v>
      </c>
      <c r="G180" s="661">
        <f>'[1]Nota II.1.6'!G380</f>
        <v>328917500</v>
      </c>
      <c r="H180" s="661">
        <f>'[1]Nota II.1.6'!H380</f>
        <v>4521856.08</v>
      </c>
      <c r="I180" s="661">
        <f>'[1]Nota II.1.6'!I380</f>
        <v>660288957.07000005</v>
      </c>
      <c r="J180" s="107"/>
    </row>
    <row r="181" spans="1:10" ht="15" customHeight="1" x14ac:dyDescent="0.2">
      <c r="A181" s="666" t="s">
        <v>195</v>
      </c>
      <c r="B181" s="665"/>
      <c r="C181" s="662">
        <f>'[1]Nota II.1.6'!C404</f>
        <v>4600</v>
      </c>
      <c r="D181" s="661">
        <f>'[1]Nota II.1.6'!D404</f>
        <v>100</v>
      </c>
      <c r="E181" s="661">
        <f>'[1]Nota II.1.6'!E404</f>
        <v>2300000</v>
      </c>
      <c r="F181" s="661">
        <f>'[1]Nota II.1.6'!F404</f>
        <v>0</v>
      </c>
      <c r="G181" s="661">
        <f>'[1]Nota II.1.6'!G404</f>
        <v>2300000</v>
      </c>
      <c r="H181" s="661">
        <f>'[1]Nota II.1.6'!H404</f>
        <v>-410481.88</v>
      </c>
      <c r="I181" s="661">
        <f>'[1]Nota II.1.6'!I404</f>
        <v>5191319.75</v>
      </c>
      <c r="J181" s="107"/>
    </row>
    <row r="182" spans="1:10" ht="27.75" customHeight="1" x14ac:dyDescent="0.2">
      <c r="A182" s="666" t="s">
        <v>484</v>
      </c>
      <c r="B182" s="665"/>
      <c r="C182" s="662">
        <f>'[1]Nota II.1.6'!C384</f>
        <v>27345751</v>
      </c>
      <c r="D182" s="661">
        <f>'[1]Nota II.1.6'!D384</f>
        <v>100</v>
      </c>
      <c r="E182" s="661">
        <f>'[1]Nota II.1.6'!E384</f>
        <v>2734575100</v>
      </c>
      <c r="F182" s="661">
        <f>'[1]Nota II.1.6'!F384</f>
        <v>0</v>
      </c>
      <c r="G182" s="661">
        <f>'[1]Nota II.1.6'!G384</f>
        <v>2734575100</v>
      </c>
      <c r="H182" s="661">
        <f>'[1]Nota II.1.6'!H384</f>
        <v>-39253709.280000001</v>
      </c>
      <c r="I182" s="661">
        <f>'[1]Nota II.1.6'!I384</f>
        <v>4621148660.8500004</v>
      </c>
      <c r="J182" s="107"/>
    </row>
    <row r="183" spans="1:10" ht="15" customHeight="1" x14ac:dyDescent="0.2">
      <c r="A183" s="666" t="s">
        <v>193</v>
      </c>
      <c r="B183" s="665"/>
      <c r="C183" s="662">
        <f>'[1]Nota II.1.6'!C385</f>
        <v>1133516</v>
      </c>
      <c r="D183" s="661">
        <f>'[1]Nota II.1.6'!D385</f>
        <v>100</v>
      </c>
      <c r="E183" s="661">
        <f>'[1]Nota II.1.6'!E385</f>
        <v>566758000</v>
      </c>
      <c r="F183" s="661">
        <f>'[1]Nota II.1.6'!F385</f>
        <v>0</v>
      </c>
      <c r="G183" s="661">
        <f>'[1]Nota II.1.6'!G385</f>
        <v>566758000</v>
      </c>
      <c r="H183" s="661">
        <f>'[1]Nota II.1.6'!H385</f>
        <v>472518.45</v>
      </c>
      <c r="I183" s="661">
        <f>'[1]Nota II.1.6'!I385</f>
        <v>759969643.76999998</v>
      </c>
      <c r="J183" s="107"/>
    </row>
    <row r="184" spans="1:10" ht="26.25" customHeight="1" x14ac:dyDescent="0.2">
      <c r="A184" s="666" t="s">
        <v>192</v>
      </c>
      <c r="B184" s="665"/>
      <c r="C184" s="662">
        <f>'[1]Nota II.1.6'!C386</f>
        <v>10000</v>
      </c>
      <c r="D184" s="661">
        <f>'[1]Nota II.1.6'!D386</f>
        <v>100</v>
      </c>
      <c r="E184" s="661">
        <f>'[1]Nota II.1.6'!E386</f>
        <v>5000000</v>
      </c>
      <c r="F184" s="661">
        <f>'[1]Nota II.1.6'!F386</f>
        <v>0</v>
      </c>
      <c r="G184" s="661">
        <f>'[1]Nota II.1.6'!G386</f>
        <v>5000000</v>
      </c>
      <c r="H184" s="661">
        <f>'[1]Nota II.1.6'!H386</f>
        <v>2586884.37</v>
      </c>
      <c r="I184" s="661">
        <f>'[1]Nota II.1.6'!I386</f>
        <v>23174200.32</v>
      </c>
      <c r="J184" s="107"/>
    </row>
    <row r="185" spans="1:10" ht="15" customHeight="1" x14ac:dyDescent="0.2">
      <c r="A185" s="666" t="s">
        <v>483</v>
      </c>
      <c r="B185" s="665"/>
      <c r="C185" s="662">
        <f>'[1]Nota II.1.6'!C387</f>
        <v>24601</v>
      </c>
      <c r="D185" s="661">
        <f>'[1]Nota II.1.6'!D387</f>
        <v>100</v>
      </c>
      <c r="E185" s="661">
        <f>'[1]Nota II.1.6'!E387</f>
        <v>1230050</v>
      </c>
      <c r="F185" s="661">
        <f>'[1]Nota II.1.6'!F387</f>
        <v>0</v>
      </c>
      <c r="G185" s="661">
        <f>'[1]Nota II.1.6'!G387</f>
        <v>1230050</v>
      </c>
      <c r="H185" s="661">
        <f>'[1]Nota II.1.6'!H387</f>
        <v>208962.78</v>
      </c>
      <c r="I185" s="661">
        <f>'[1]Nota II.1.6'!I387</f>
        <v>7203224.75</v>
      </c>
      <c r="J185" s="107"/>
    </row>
    <row r="186" spans="1:10" ht="15" customHeight="1" x14ac:dyDescent="0.2">
      <c r="A186" s="666" t="s">
        <v>482</v>
      </c>
      <c r="B186" s="665"/>
      <c r="C186" s="662">
        <f>'[1]Nota II.1.6'!C388</f>
        <v>80500</v>
      </c>
      <c r="D186" s="661">
        <f>'[1]Nota II.1.6'!D388</f>
        <v>100</v>
      </c>
      <c r="E186" s="661">
        <f>'[1]Nota II.1.6'!E388</f>
        <v>80500000</v>
      </c>
      <c r="F186" s="661">
        <f>'[1]Nota II.1.6'!F388</f>
        <v>0</v>
      </c>
      <c r="G186" s="661">
        <f>'[1]Nota II.1.6'!G388</f>
        <v>80500000</v>
      </c>
      <c r="H186" s="661">
        <f>'[1]Nota II.1.6'!H388</f>
        <v>1966.05</v>
      </c>
      <c r="I186" s="661">
        <f>'[1]Nota II.1.6'!I388</f>
        <v>116259848.94</v>
      </c>
      <c r="J186" s="107"/>
    </row>
    <row r="187" spans="1:10" ht="15" customHeight="1" x14ac:dyDescent="0.2">
      <c r="A187" s="666" t="s">
        <v>182</v>
      </c>
      <c r="B187" s="665"/>
      <c r="C187" s="662">
        <f>'[1]Nota II.1.6'!C389</f>
        <v>168433</v>
      </c>
      <c r="D187" s="661">
        <f>'[1]Nota II.1.6'!D389</f>
        <v>100</v>
      </c>
      <c r="E187" s="661">
        <f>'[1]Nota II.1.6'!E389</f>
        <v>168433000</v>
      </c>
      <c r="F187" s="661">
        <f>'[1]Nota II.1.6'!F389</f>
        <v>0</v>
      </c>
      <c r="G187" s="661">
        <f>'[1]Nota II.1.6'!G389</f>
        <v>168433000</v>
      </c>
      <c r="H187" s="661">
        <f>'[1]Nota II.1.6'!H389</f>
        <v>5163480.1399999997</v>
      </c>
      <c r="I187" s="661">
        <f>'[1]Nota II.1.6'!I389</f>
        <v>235845004.62</v>
      </c>
      <c r="J187" s="107"/>
    </row>
    <row r="188" spans="1:10" ht="15" customHeight="1" x14ac:dyDescent="0.2">
      <c r="A188" s="666" t="s">
        <v>181</v>
      </c>
      <c r="B188" s="665"/>
      <c r="C188" s="662">
        <f>'[1]Nota II.1.6'!C390</f>
        <v>177563</v>
      </c>
      <c r="D188" s="661">
        <f>'[1]Nota II.1.6'!D390</f>
        <v>100</v>
      </c>
      <c r="E188" s="661">
        <f>'[1]Nota II.1.6'!E390</f>
        <v>177563000</v>
      </c>
      <c r="F188" s="661">
        <f>'[1]Nota II.1.6'!F390</f>
        <v>0</v>
      </c>
      <c r="G188" s="661">
        <f>'[1]Nota II.1.6'!G390</f>
        <v>177563000</v>
      </c>
      <c r="H188" s="661">
        <f>'[1]Nota II.1.6'!H390</f>
        <v>3391426.87</v>
      </c>
      <c r="I188" s="661">
        <f>'[1]Nota II.1.6'!I390</f>
        <v>195220041.09</v>
      </c>
      <c r="J188" s="107"/>
    </row>
    <row r="189" spans="1:10" ht="15" customHeight="1" x14ac:dyDescent="0.2">
      <c r="A189" s="666" t="s">
        <v>180</v>
      </c>
      <c r="B189" s="665"/>
      <c r="C189" s="662">
        <f>'[1]Nota II.1.6'!C391</f>
        <v>1626550</v>
      </c>
      <c r="D189" s="661">
        <f>'[1]Nota II.1.6'!D391</f>
        <v>100</v>
      </c>
      <c r="E189" s="661">
        <f>'[1]Nota II.1.6'!E391</f>
        <v>813275000</v>
      </c>
      <c r="F189" s="661">
        <f>'[1]Nota II.1.6'!F391</f>
        <v>0</v>
      </c>
      <c r="G189" s="661">
        <f>'[1]Nota II.1.6'!G391</f>
        <v>813275000</v>
      </c>
      <c r="H189" s="661">
        <f>'[1]Nota II.1.6'!H391</f>
        <v>-6465494.1100000003</v>
      </c>
      <c r="I189" s="661">
        <f>'[1]Nota II.1.6'!I391</f>
        <v>1146706668</v>
      </c>
      <c r="J189" s="107"/>
    </row>
    <row r="190" spans="1:10" ht="15" customHeight="1" x14ac:dyDescent="0.2">
      <c r="A190" s="666" t="s">
        <v>179</v>
      </c>
      <c r="B190" s="665"/>
      <c r="C190" s="662">
        <f>'[1]Nota II.1.6'!C392</f>
        <v>6600</v>
      </c>
      <c r="D190" s="661">
        <f>'[1]Nota II.1.6'!D392</f>
        <v>100</v>
      </c>
      <c r="E190" s="661">
        <f>'[1]Nota II.1.6'!E392</f>
        <v>3300000</v>
      </c>
      <c r="F190" s="661">
        <f>'[1]Nota II.1.6'!F392</f>
        <v>0</v>
      </c>
      <c r="G190" s="661">
        <f>'[1]Nota II.1.6'!G392</f>
        <v>3300000</v>
      </c>
      <c r="H190" s="661">
        <f>'[1]Nota II.1.6'!H392</f>
        <v>137826.84</v>
      </c>
      <c r="I190" s="661">
        <f>'[1]Nota II.1.6'!I392</f>
        <v>5001649.95</v>
      </c>
      <c r="J190" s="107"/>
    </row>
    <row r="191" spans="1:10" ht="15" customHeight="1" x14ac:dyDescent="0.2">
      <c r="A191" s="666" t="s">
        <v>200</v>
      </c>
      <c r="B191" s="665"/>
      <c r="C191" s="662">
        <f>'[1]Nota II.1.6'!C393</f>
        <v>1000</v>
      </c>
      <c r="D191" s="661">
        <f>'[1]Nota II.1.6'!D393</f>
        <v>100</v>
      </c>
      <c r="E191" s="661">
        <f>'[1]Nota II.1.6'!E393</f>
        <v>1000000</v>
      </c>
      <c r="F191" s="661">
        <f>'[1]Nota II.1.6'!F393</f>
        <v>0</v>
      </c>
      <c r="G191" s="661">
        <f>'[1]Nota II.1.6'!G393</f>
        <v>1000000</v>
      </c>
      <c r="H191" s="661">
        <f>'[1]Nota II.1.6'!H393</f>
        <v>229274.57</v>
      </c>
      <c r="I191" s="661">
        <f>'[1]Nota II.1.6'!I393</f>
        <v>18800806.379999999</v>
      </c>
      <c r="J191" s="107"/>
    </row>
    <row r="192" spans="1:10" ht="15" customHeight="1" x14ac:dyDescent="0.2">
      <c r="A192" s="668" t="s">
        <v>185</v>
      </c>
      <c r="B192" s="667"/>
      <c r="C192" s="662">
        <f>'[1]Nota II.1.6'!C394</f>
        <v>23964</v>
      </c>
      <c r="D192" s="661">
        <f>'[1]Nota II.1.6'!D394</f>
        <v>100</v>
      </c>
      <c r="E192" s="661">
        <f>'[1]Nota II.1.6'!E394</f>
        <v>23964000</v>
      </c>
      <c r="F192" s="661">
        <f>'[1]Nota II.1.6'!F394</f>
        <v>0</v>
      </c>
      <c r="G192" s="661">
        <f>'[1]Nota II.1.6'!G394</f>
        <v>23964000</v>
      </c>
      <c r="H192" s="661">
        <f>'[1]Nota II.1.6'!H394</f>
        <v>1548507.11</v>
      </c>
      <c r="I192" s="661">
        <f>'[1]Nota II.1.6'!I394</f>
        <v>31548525.899999999</v>
      </c>
      <c r="J192" s="107"/>
    </row>
    <row r="193" spans="1:10" ht="15" customHeight="1" x14ac:dyDescent="0.2">
      <c r="A193" s="666" t="s">
        <v>190</v>
      </c>
      <c r="B193" s="665"/>
      <c r="C193" s="662">
        <f>'[1]Nota II.1.6'!C395</f>
        <v>63465</v>
      </c>
      <c r="D193" s="661">
        <f>'[1]Nota II.1.6'!D395</f>
        <v>100</v>
      </c>
      <c r="E193" s="661">
        <f>'[1]Nota II.1.6'!E395</f>
        <v>63465000</v>
      </c>
      <c r="F193" s="661">
        <f>'[1]Nota II.1.6'!F395</f>
        <v>0</v>
      </c>
      <c r="G193" s="661">
        <f>'[1]Nota II.1.6'!G395</f>
        <v>63465000</v>
      </c>
      <c r="H193" s="661">
        <f>'[1]Nota II.1.6'!H395</f>
        <v>520902.96</v>
      </c>
      <c r="I193" s="661">
        <f>'[1]Nota II.1.6'!I395</f>
        <v>64338329.659999996</v>
      </c>
      <c r="J193" s="107"/>
    </row>
    <row r="194" spans="1:10" ht="15" customHeight="1" x14ac:dyDescent="0.2">
      <c r="A194" s="666" t="s">
        <v>186</v>
      </c>
      <c r="B194" s="665"/>
      <c r="C194" s="662">
        <f>'[1]Nota II.1.6'!C405</f>
        <v>19365</v>
      </c>
      <c r="D194" s="661">
        <f>'[1]Nota II.1.6'!D405</f>
        <v>100</v>
      </c>
      <c r="E194" s="661">
        <f>'[1]Nota II.1.6'!E405</f>
        <v>19365000</v>
      </c>
      <c r="F194" s="661">
        <f>'[1]Nota II.1.6'!F405</f>
        <v>6612029.1100000003</v>
      </c>
      <c r="G194" s="661">
        <f>'[1]Nota II.1.6'!G405</f>
        <v>12752970.890000001</v>
      </c>
      <c r="H194" s="661">
        <f>'[1]Nota II.1.6'!H405</f>
        <v>-15969826.16</v>
      </c>
      <c r="I194" s="661">
        <f>'[1]Nota II.1.6'!I405</f>
        <v>12752970.890000001</v>
      </c>
      <c r="J194" s="107"/>
    </row>
    <row r="195" spans="1:10" ht="15" customHeight="1" x14ac:dyDescent="0.2">
      <c r="A195" s="666" t="s">
        <v>187</v>
      </c>
      <c r="B195" s="665"/>
      <c r="C195" s="662">
        <f>'[1]Nota II.1.6'!C396</f>
        <v>19400</v>
      </c>
      <c r="D195" s="661">
        <f>'[1]Nota II.1.6'!D396</f>
        <v>100</v>
      </c>
      <c r="E195" s="661">
        <f>'[1]Nota II.1.6'!E396</f>
        <v>19400000</v>
      </c>
      <c r="F195" s="661">
        <f>'[1]Nota II.1.6'!F396</f>
        <v>0</v>
      </c>
      <c r="G195" s="661">
        <f>'[1]Nota II.1.6'!G396</f>
        <v>19400000</v>
      </c>
      <c r="H195" s="661">
        <f>'[1]Nota II.1.6'!H396</f>
        <v>-5192081.05</v>
      </c>
      <c r="I195" s="661">
        <f>'[1]Nota II.1.6'!I396</f>
        <v>23037599.57</v>
      </c>
      <c r="J195" s="107"/>
    </row>
    <row r="196" spans="1:10" ht="24.75" customHeight="1" x14ac:dyDescent="0.2">
      <c r="A196" s="670" t="s">
        <v>183</v>
      </c>
      <c r="B196" s="669"/>
      <c r="C196" s="662">
        <f>'[1]Nota II.1.6'!C397</f>
        <v>100</v>
      </c>
      <c r="D196" s="661">
        <f>'[1]Nota II.1.6'!D397</f>
        <v>100</v>
      </c>
      <c r="E196" s="661">
        <f>'[1]Nota II.1.6'!E397</f>
        <v>100000</v>
      </c>
      <c r="F196" s="661">
        <f>'[1]Nota II.1.6'!F397</f>
        <v>0</v>
      </c>
      <c r="G196" s="661">
        <f>'[1]Nota II.1.6'!G397</f>
        <v>100000</v>
      </c>
      <c r="H196" s="661">
        <f>'[1]Nota II.1.6'!H397</f>
        <v>3565475.97</v>
      </c>
      <c r="I196" s="661">
        <f>'[1]Nota II.1.6'!I397</f>
        <v>11481541.289999999</v>
      </c>
      <c r="J196" s="107"/>
    </row>
    <row r="197" spans="1:10" ht="15" customHeight="1" x14ac:dyDescent="0.2">
      <c r="A197" s="668" t="s">
        <v>481</v>
      </c>
      <c r="B197" s="667"/>
      <c r="C197" s="662">
        <f>'[1]Nota II.1.6'!C398</f>
        <v>100</v>
      </c>
      <c r="D197" s="661">
        <f>'[1]Nota II.1.6'!D398</f>
        <v>100</v>
      </c>
      <c r="E197" s="661">
        <f>'[1]Nota II.1.6'!E398</f>
        <v>100000</v>
      </c>
      <c r="F197" s="661">
        <f>'[1]Nota II.1.6'!F398</f>
        <v>0</v>
      </c>
      <c r="G197" s="661">
        <f>'[1]Nota II.1.6'!G398</f>
        <v>100000</v>
      </c>
      <c r="H197" s="661">
        <f>'[1]Nota II.1.6'!H398</f>
        <v>-13196483.33</v>
      </c>
      <c r="I197" s="661">
        <f>'[1]Nota II.1.6'!I398</f>
        <v>-8091580.2599999998</v>
      </c>
      <c r="J197" s="107"/>
    </row>
    <row r="198" spans="1:10" ht="15" customHeight="1" x14ac:dyDescent="0.2">
      <c r="A198" s="666" t="s">
        <v>188</v>
      </c>
      <c r="B198" s="665"/>
      <c r="C198" s="662">
        <f>'[1]Nota II.1.6'!C399</f>
        <v>33402</v>
      </c>
      <c r="D198" s="661">
        <f>'[1]Nota II.1.6'!D399</f>
        <v>100</v>
      </c>
      <c r="E198" s="661">
        <f>'[1]Nota II.1.6'!E399</f>
        <v>33402000</v>
      </c>
      <c r="F198" s="661">
        <f>'[1]Nota II.1.6'!F399</f>
        <v>30628557.73</v>
      </c>
      <c r="G198" s="661">
        <f>'[1]Nota II.1.6'!G399</f>
        <v>2773442.27</v>
      </c>
      <c r="H198" s="661">
        <f>'[1]Nota II.1.6'!H399</f>
        <v>-41002343.259999998</v>
      </c>
      <c r="I198" s="661">
        <f>'[1]Nota II.1.6'!I399</f>
        <v>2773442.27</v>
      </c>
      <c r="J198" s="107"/>
    </row>
    <row r="199" spans="1:10" ht="15" customHeight="1" x14ac:dyDescent="0.2">
      <c r="A199" s="666" t="s">
        <v>480</v>
      </c>
      <c r="B199" s="665"/>
      <c r="C199" s="662">
        <f>'[1]Nota II.1.6'!C400</f>
        <v>20111</v>
      </c>
      <c r="D199" s="661">
        <f>'[1]Nota II.1.6'!D400</f>
        <v>100</v>
      </c>
      <c r="E199" s="661">
        <f>'[1]Nota II.1.6'!E400</f>
        <v>20111000</v>
      </c>
      <c r="F199" s="661">
        <f>'[1]Nota II.1.6'!F400</f>
        <v>1005538.08</v>
      </c>
      <c r="G199" s="661">
        <f>'[1]Nota II.1.6'!G400</f>
        <v>19105461.920000002</v>
      </c>
      <c r="H199" s="661">
        <f>'[1]Nota II.1.6'!H400</f>
        <v>-7010.45</v>
      </c>
      <c r="I199" s="661">
        <f>'[1]Nota II.1.6'!I400</f>
        <v>19105461.920000002</v>
      </c>
      <c r="J199" s="107"/>
    </row>
    <row r="200" spans="1:10" ht="15" customHeight="1" x14ac:dyDescent="0.2">
      <c r="A200" s="666" t="s">
        <v>479</v>
      </c>
      <c r="B200" s="665"/>
      <c r="C200" s="662">
        <f>'[1]Nota II.1.6'!C401</f>
        <v>100</v>
      </c>
      <c r="D200" s="661">
        <f>'[1]Nota II.1.6'!D401</f>
        <v>100</v>
      </c>
      <c r="E200" s="661">
        <f>'[1]Nota II.1.6'!E401</f>
        <v>50000</v>
      </c>
      <c r="F200" s="661">
        <f>'[1]Nota II.1.6'!F401</f>
        <v>50000</v>
      </c>
      <c r="G200" s="661">
        <f>'[1]Nota II.1.6'!G401</f>
        <v>0</v>
      </c>
      <c r="H200" s="661"/>
      <c r="I200" s="661"/>
      <c r="J200" s="107"/>
    </row>
    <row r="201" spans="1:10" ht="15" customHeight="1" x14ac:dyDescent="0.2">
      <c r="A201" s="666" t="s">
        <v>478</v>
      </c>
      <c r="B201" s="665"/>
      <c r="C201" s="662">
        <f>'[1]Nota II.1.6'!C402</f>
        <v>16000</v>
      </c>
      <c r="D201" s="661">
        <f>'[1]Nota II.1.6'!D402</f>
        <v>40.22</v>
      </c>
      <c r="E201" s="661">
        <f>'[1]Nota II.1.6'!E402</f>
        <v>16000000</v>
      </c>
      <c r="F201" s="661">
        <f>'[1]Nota II.1.6'!F402</f>
        <v>7786850.9199999999</v>
      </c>
      <c r="G201" s="661">
        <f>'[1]Nota II.1.6'!G402</f>
        <v>8213149.0800000001</v>
      </c>
      <c r="H201" s="661">
        <f>'[1]Nota II.1.6'!H402</f>
        <v>-1748026.29</v>
      </c>
      <c r="I201" s="661">
        <f>'[1]Nota II.1.6'!I402</f>
        <v>20421481.870000001</v>
      </c>
      <c r="J201" s="107"/>
    </row>
    <row r="202" spans="1:10" ht="15" customHeight="1" thickBot="1" x14ac:dyDescent="0.25">
      <c r="A202" s="664" t="s">
        <v>477</v>
      </c>
      <c r="B202" s="663"/>
      <c r="C202" s="662">
        <f>'[1]Nota II.1.6'!C403</f>
        <v>2795</v>
      </c>
      <c r="D202" s="661">
        <f>'[1]Nota II.1.6'!D403</f>
        <v>0</v>
      </c>
      <c r="E202" s="661">
        <f>'[1]Nota II.1.6'!E403</f>
        <v>120241.86</v>
      </c>
      <c r="F202" s="661">
        <f>'[1]Nota II.1.6'!F403</f>
        <v>-79797.11</v>
      </c>
      <c r="G202" s="661">
        <f>'[1]Nota II.1.6'!G403</f>
        <v>200038.97</v>
      </c>
      <c r="H202" s="661"/>
      <c r="I202" s="661"/>
      <c r="J202" s="107"/>
    </row>
    <row r="203" spans="1:10" ht="13.5" thickBot="1" x14ac:dyDescent="0.3">
      <c r="A203" s="660" t="s">
        <v>176</v>
      </c>
      <c r="B203" s="659"/>
      <c r="C203" s="657"/>
      <c r="D203" s="658"/>
      <c r="E203" s="657">
        <f>SUM(E177:E202)</f>
        <v>5603148191.8599997</v>
      </c>
      <c r="F203" s="657">
        <f>SUM(F177:F202)</f>
        <v>46003178.730000004</v>
      </c>
      <c r="G203" s="657">
        <f>SUM(G177:G202)</f>
        <v>5557145013.1300011</v>
      </c>
      <c r="H203" s="657">
        <f>SUM(H177:H202)</f>
        <v>-76364003.76000002</v>
      </c>
      <c r="I203" s="657">
        <f>SUM(I177:I202)</f>
        <v>8965920837.1800003</v>
      </c>
    </row>
    <row r="208" spans="1:10" x14ac:dyDescent="0.25">
      <c r="A208" s="656" t="s">
        <v>476</v>
      </c>
      <c r="B208" s="488"/>
      <c r="C208" s="488"/>
      <c r="D208" s="488"/>
      <c r="E208" s="488"/>
      <c r="F208" s="488"/>
      <c r="G208" s="488"/>
      <c r="H208" s="488"/>
      <c r="I208" s="488"/>
    </row>
    <row r="209" spans="1:9" ht="13.5" thickBot="1" x14ac:dyDescent="0.3">
      <c r="A209" s="287"/>
      <c r="B209" s="287"/>
      <c r="C209" s="287"/>
      <c r="D209" s="287"/>
      <c r="E209" s="287"/>
      <c r="F209" s="287"/>
      <c r="G209" s="287"/>
      <c r="H209" s="287"/>
      <c r="I209" s="287"/>
    </row>
    <row r="210" spans="1:9" ht="13.5" thickBot="1" x14ac:dyDescent="0.3">
      <c r="A210" s="655" t="s">
        <v>475</v>
      </c>
      <c r="B210" s="654"/>
      <c r="C210" s="654"/>
      <c r="D210" s="653"/>
      <c r="E210" s="478" t="s">
        <v>7</v>
      </c>
      <c r="F210" s="185" t="s">
        <v>474</v>
      </c>
      <c r="G210" s="184"/>
      <c r="H210" s="183"/>
      <c r="I210" s="652" t="s">
        <v>8</v>
      </c>
    </row>
    <row r="211" spans="1:9" ht="13.5" thickBot="1" x14ac:dyDescent="0.3">
      <c r="A211" s="651"/>
      <c r="B211" s="650"/>
      <c r="C211" s="650"/>
      <c r="D211" s="649"/>
      <c r="E211" s="471"/>
      <c r="F211" s="648" t="s">
        <v>359</v>
      </c>
      <c r="G211" s="647" t="s">
        <v>473</v>
      </c>
      <c r="H211" s="646" t="s">
        <v>472</v>
      </c>
      <c r="I211" s="645"/>
    </row>
    <row r="212" spans="1:9" x14ac:dyDescent="0.25">
      <c r="A212" s="644">
        <v>1</v>
      </c>
      <c r="B212" s="524" t="s">
        <v>471</v>
      </c>
      <c r="C212" s="643"/>
      <c r="D212" s="523"/>
      <c r="E212" s="642">
        <f>'[1]Nota II.1.7.'!C49</f>
        <v>0</v>
      </c>
      <c r="F212" s="642">
        <f>'[1]Nota II.1.7.'!D49</f>
        <v>0</v>
      </c>
      <c r="G212" s="642">
        <f>'[1]Nota II.1.7.'!E49</f>
        <v>0</v>
      </c>
      <c r="H212" s="642">
        <f>'[1]Nota II.1.7.'!F49</f>
        <v>0</v>
      </c>
      <c r="I212" s="636">
        <f>E212+F212-G212-H212</f>
        <v>0</v>
      </c>
    </row>
    <row r="213" spans="1:9" x14ac:dyDescent="0.25">
      <c r="A213" s="641"/>
      <c r="B213" s="639" t="s">
        <v>468</v>
      </c>
      <c r="C213" s="638"/>
      <c r="D213" s="637"/>
      <c r="E213" s="138">
        <f>'[1]Nota II.1.7.'!C50</f>
        <v>0</v>
      </c>
      <c r="F213" s="138">
        <f>'[1]Nota II.1.7.'!D50</f>
        <v>0</v>
      </c>
      <c r="G213" s="138">
        <f>'[1]Nota II.1.7.'!E50</f>
        <v>0</v>
      </c>
      <c r="H213" s="138">
        <f>'[1]Nota II.1.7.'!F50</f>
        <v>0</v>
      </c>
      <c r="I213" s="636">
        <f>E213+F213-G213-H213</f>
        <v>0</v>
      </c>
    </row>
    <row r="214" spans="1:9" x14ac:dyDescent="0.25">
      <c r="A214" s="640" t="s">
        <v>470</v>
      </c>
      <c r="B214" s="634" t="s">
        <v>469</v>
      </c>
      <c r="C214" s="633"/>
      <c r="D214" s="632"/>
      <c r="E214" s="138">
        <f>'[1]Nota II.1.7.'!C51</f>
        <v>1514717806.49</v>
      </c>
      <c r="F214" s="138">
        <f>'[1]Nota II.1.7.'!D51</f>
        <v>1141117490.1199999</v>
      </c>
      <c r="G214" s="138">
        <f>'[1]Nota II.1.7.'!E51</f>
        <v>25449505.609999999</v>
      </c>
      <c r="H214" s="138">
        <f>'[1]Nota II.1.7.'!F51</f>
        <v>828497808.02999997</v>
      </c>
      <c r="I214" s="636">
        <f>E214+F214-G214-H214</f>
        <v>1801887982.9699996</v>
      </c>
    </row>
    <row r="215" spans="1:9" x14ac:dyDescent="0.25">
      <c r="A215" s="640"/>
      <c r="B215" s="639" t="s">
        <v>468</v>
      </c>
      <c r="C215" s="638"/>
      <c r="D215" s="637"/>
      <c r="E215" s="138">
        <f>'[1]Nota II.1.7.'!C52</f>
        <v>0</v>
      </c>
      <c r="F215" s="138">
        <f>'[1]Nota II.1.7.'!D52</f>
        <v>0</v>
      </c>
      <c r="G215" s="138">
        <f>'[1]Nota II.1.7.'!E52</f>
        <v>0</v>
      </c>
      <c r="H215" s="138">
        <f>'[1]Nota II.1.7.'!F52</f>
        <v>0</v>
      </c>
      <c r="I215" s="636">
        <f>E215+F215-G215-H215</f>
        <v>0</v>
      </c>
    </row>
    <row r="216" spans="1:9" ht="13.5" thickBot="1" x14ac:dyDescent="0.3">
      <c r="A216" s="635" t="s">
        <v>467</v>
      </c>
      <c r="B216" s="634" t="s">
        <v>466</v>
      </c>
      <c r="C216" s="633"/>
      <c r="D216" s="632"/>
      <c r="E216" s="631">
        <f>'[1]Nota II.1.7.'!C53</f>
        <v>489163703.27999997</v>
      </c>
      <c r="F216" s="631">
        <f>'[1]Nota II.1.7.'!D53</f>
        <v>465944281.02999997</v>
      </c>
      <c r="G216" s="631">
        <f>'[1]Nota II.1.7.'!E53</f>
        <v>1414824.12</v>
      </c>
      <c r="H216" s="631">
        <f>'[1]Nota II.1.7.'!F53</f>
        <v>427913078.23000002</v>
      </c>
      <c r="I216" s="630">
        <f>E216+F216-G216-H216</f>
        <v>525780081.95999992</v>
      </c>
    </row>
    <row r="217" spans="1:9" ht="13.5" thickBot="1" x14ac:dyDescent="0.3">
      <c r="A217" s="629" t="s">
        <v>176</v>
      </c>
      <c r="B217" s="628"/>
      <c r="C217" s="628"/>
      <c r="D217" s="627"/>
      <c r="E217" s="514">
        <f>E212+E214+E216</f>
        <v>2003881509.77</v>
      </c>
      <c r="F217" s="626">
        <f>F212+F214+F216</f>
        <v>1607061771.1499999</v>
      </c>
      <c r="G217" s="626">
        <f>G212+G214+G216</f>
        <v>26864329.73</v>
      </c>
      <c r="H217" s="514">
        <f>H212+H214+H216</f>
        <v>1256410886.26</v>
      </c>
      <c r="I217" s="515">
        <f>I212+I214+I216</f>
        <v>2327668064.9299994</v>
      </c>
    </row>
    <row r="218" spans="1:9" x14ac:dyDescent="0.2">
      <c r="A218" s="106"/>
      <c r="B218" s="106"/>
      <c r="C218" s="106"/>
      <c r="D218" s="106"/>
      <c r="E218" s="106"/>
      <c r="F218" s="106"/>
      <c r="G218" s="106"/>
      <c r="H218" s="106"/>
      <c r="I218" s="106"/>
    </row>
    <row r="219" spans="1:9" x14ac:dyDescent="0.2">
      <c r="A219" s="106"/>
      <c r="B219" s="106"/>
      <c r="C219" s="106"/>
      <c r="D219" s="106"/>
      <c r="E219" s="106"/>
      <c r="F219" s="106"/>
      <c r="G219" s="106"/>
      <c r="H219" s="106"/>
      <c r="I219" s="106"/>
    </row>
    <row r="220" spans="1:9" x14ac:dyDescent="0.2">
      <c r="A220" s="106"/>
      <c r="B220" s="106"/>
      <c r="C220" s="106"/>
      <c r="D220" s="106"/>
      <c r="E220" s="106"/>
      <c r="F220" s="106"/>
      <c r="G220" s="106"/>
      <c r="H220" s="106"/>
      <c r="I220" s="106"/>
    </row>
    <row r="221" spans="1:9" x14ac:dyDescent="0.25">
      <c r="A221" s="187" t="s">
        <v>465</v>
      </c>
      <c r="B221" s="187"/>
      <c r="C221" s="187"/>
      <c r="D221" s="187"/>
      <c r="E221" s="187"/>
      <c r="F221" s="187"/>
      <c r="G221" s="187"/>
    </row>
    <row r="222" spans="1:9" ht="13.5" thickBot="1" x14ac:dyDescent="0.3">
      <c r="A222" s="547"/>
      <c r="B222" s="546"/>
      <c r="C222" s="186"/>
      <c r="D222" s="186"/>
      <c r="E222" s="186"/>
      <c r="F222" s="186"/>
      <c r="G222" s="186"/>
    </row>
    <row r="223" spans="1:9" ht="26.25" thickBot="1" x14ac:dyDescent="0.3">
      <c r="A223" s="476" t="s">
        <v>427</v>
      </c>
      <c r="B223" s="475"/>
      <c r="C223" s="625"/>
      <c r="D223" s="624" t="s">
        <v>387</v>
      </c>
      <c r="E223" s="622" t="s">
        <v>464</v>
      </c>
      <c r="F223" s="623" t="s">
        <v>463</v>
      </c>
      <c r="G223" s="622" t="s">
        <v>462</v>
      </c>
      <c r="H223" s="621" t="s">
        <v>206</v>
      </c>
    </row>
    <row r="224" spans="1:9" x14ac:dyDescent="0.25">
      <c r="A224" s="238" t="s">
        <v>461</v>
      </c>
      <c r="B224" s="237"/>
      <c r="C224" s="237"/>
      <c r="D224" s="620">
        <f>'[1]Nota II.1.8'!C91</f>
        <v>0</v>
      </c>
      <c r="E224" s="619">
        <f>'[1]Nota II.1.8'!D91</f>
        <v>0</v>
      </c>
      <c r="F224" s="619">
        <f>'[1]Nota II.1.8'!E91</f>
        <v>0</v>
      </c>
      <c r="G224" s="619">
        <f>'[1]Nota II.1.8'!F91</f>
        <v>0</v>
      </c>
      <c r="H224" s="618">
        <f>D224+E224-F224-G224</f>
        <v>0</v>
      </c>
    </row>
    <row r="225" spans="1:8" x14ac:dyDescent="0.25">
      <c r="A225" s="617" t="s">
        <v>460</v>
      </c>
      <c r="B225" s="616"/>
      <c r="C225" s="616"/>
      <c r="D225" s="615">
        <f>'[1]Nota II.1.8'!C92</f>
        <v>0</v>
      </c>
      <c r="E225" s="614">
        <f>'[1]Nota II.1.8'!D92</f>
        <v>0</v>
      </c>
      <c r="F225" s="614">
        <f>'[1]Nota II.1.8'!E92</f>
        <v>0</v>
      </c>
      <c r="G225" s="614">
        <f>'[1]Nota II.1.8'!F92</f>
        <v>0</v>
      </c>
      <c r="H225" s="613">
        <f>D225+E225-F225-G225</f>
        <v>0</v>
      </c>
    </row>
    <row r="226" spans="1:8" ht="15" customHeight="1" x14ac:dyDescent="0.25">
      <c r="A226" s="617" t="s">
        <v>459</v>
      </c>
      <c r="B226" s="616"/>
      <c r="C226" s="616"/>
      <c r="D226" s="615">
        <f>'[1]Nota II.1.8'!C93</f>
        <v>197863358.46000001</v>
      </c>
      <c r="E226" s="614">
        <f>'[1]Nota II.1.8'!D93</f>
        <v>9289432.1799999997</v>
      </c>
      <c r="F226" s="614">
        <f>'[1]Nota II.1.8'!E93</f>
        <v>5071559</v>
      </c>
      <c r="G226" s="614">
        <f>'[1]Nota II.1.8'!F93</f>
        <v>2892272.08</v>
      </c>
      <c r="H226" s="613">
        <f>D226+E226-F226-G226</f>
        <v>199188959.56</v>
      </c>
    </row>
    <row r="227" spans="1:8" ht="15" customHeight="1" x14ac:dyDescent="0.25">
      <c r="A227" s="617" t="s">
        <v>458</v>
      </c>
      <c r="B227" s="616"/>
      <c r="C227" s="616"/>
      <c r="D227" s="615">
        <f>'[1]Nota II.1.8'!C94</f>
        <v>1757057</v>
      </c>
      <c r="E227" s="614">
        <f>'[1]Nota II.1.8'!D94</f>
        <v>0</v>
      </c>
      <c r="F227" s="614">
        <f>'[1]Nota II.1.8'!E94</f>
        <v>0</v>
      </c>
      <c r="G227" s="614">
        <f>'[1]Nota II.1.8'!F94</f>
        <v>160000</v>
      </c>
      <c r="H227" s="613">
        <f>D227+E227-F227-G227</f>
        <v>1597057</v>
      </c>
    </row>
    <row r="228" spans="1:8" ht="33" customHeight="1" x14ac:dyDescent="0.25">
      <c r="A228" s="617" t="s">
        <v>457</v>
      </c>
      <c r="B228" s="616"/>
      <c r="C228" s="616"/>
      <c r="D228" s="615">
        <f>'[1]Nota II.1.8'!C95</f>
        <v>27579103.190000001</v>
      </c>
      <c r="E228" s="614">
        <f>'[1]Nota II.1.8'!D95</f>
        <v>16639693.890000001</v>
      </c>
      <c r="F228" s="614">
        <f>'[1]Nota II.1.8'!E95</f>
        <v>0</v>
      </c>
      <c r="G228" s="614">
        <f>'[1]Nota II.1.8'!F95</f>
        <v>0</v>
      </c>
      <c r="H228" s="613">
        <f>D228+E228-F228-G228</f>
        <v>44218797.079999998</v>
      </c>
    </row>
    <row r="229" spans="1:8" ht="32.450000000000003" customHeight="1" x14ac:dyDescent="0.25">
      <c r="A229" s="612" t="s">
        <v>456</v>
      </c>
      <c r="B229" s="611"/>
      <c r="C229" s="611"/>
      <c r="D229" s="615">
        <f>'[1]Nota II.1.8'!C96</f>
        <v>413653610.44999999</v>
      </c>
      <c r="E229" s="614">
        <f>'[1]Nota II.1.8'!D96</f>
        <v>151000114.31</v>
      </c>
      <c r="F229" s="614">
        <f>'[1]Nota II.1.8'!E96</f>
        <v>0</v>
      </c>
      <c r="G229" s="614">
        <f>'[1]Nota II.1.8'!F96</f>
        <v>70017246.370000005</v>
      </c>
      <c r="H229" s="613">
        <f>D229+E229-F229-G229</f>
        <v>494636478.38999999</v>
      </c>
    </row>
    <row r="230" spans="1:8" ht="15" customHeight="1" x14ac:dyDescent="0.25">
      <c r="A230" s="612" t="s">
        <v>455</v>
      </c>
      <c r="B230" s="611"/>
      <c r="C230" s="611"/>
      <c r="D230" s="615">
        <f>'[1]Nota II.1.8'!C97</f>
        <v>17112243.780000001</v>
      </c>
      <c r="E230" s="614">
        <f>'[1]Nota II.1.8'!D97</f>
        <v>7813879.5199999996</v>
      </c>
      <c r="F230" s="614">
        <f>'[1]Nota II.1.8'!E97</f>
        <v>5148098.1500000004</v>
      </c>
      <c r="G230" s="614">
        <f>'[1]Nota II.1.8'!F97</f>
        <v>561849.01</v>
      </c>
      <c r="H230" s="613">
        <f>D230+E230-F230-G230</f>
        <v>19216176.139999997</v>
      </c>
    </row>
    <row r="231" spans="1:8" x14ac:dyDescent="0.25">
      <c r="A231" s="612" t="s">
        <v>454</v>
      </c>
      <c r="B231" s="611"/>
      <c r="C231" s="611"/>
      <c r="D231" s="615">
        <f>'[1]Nota II.1.8'!C98</f>
        <v>696906</v>
      </c>
      <c r="E231" s="614">
        <f>'[1]Nota II.1.8'!D98</f>
        <v>202155</v>
      </c>
      <c r="F231" s="614">
        <f>'[1]Nota II.1.8'!E98</f>
        <v>0</v>
      </c>
      <c r="G231" s="614">
        <f>'[1]Nota II.1.8'!F98</f>
        <v>0</v>
      </c>
      <c r="H231" s="613">
        <f>D231+E231-F231-G231</f>
        <v>899061</v>
      </c>
    </row>
    <row r="232" spans="1:8" x14ac:dyDescent="0.25">
      <c r="A232" s="612" t="s">
        <v>453</v>
      </c>
      <c r="B232" s="611"/>
      <c r="C232" s="611"/>
      <c r="D232" s="615">
        <f>'[1]Nota II.1.8'!C99</f>
        <v>146786448.84999999</v>
      </c>
      <c r="E232" s="614">
        <f>'[1]Nota II.1.8'!D99</f>
        <v>13814766.24</v>
      </c>
      <c r="F232" s="614">
        <f>'[1]Nota II.1.8'!E99</f>
        <v>68841.06</v>
      </c>
      <c r="G232" s="614">
        <f>'[1]Nota II.1.8'!F99</f>
        <v>3448993.1</v>
      </c>
      <c r="H232" s="613">
        <f>D232+E232-F232-G232</f>
        <v>157083380.93000001</v>
      </c>
    </row>
    <row r="233" spans="1:8" ht="15" customHeight="1" thickBot="1" x14ac:dyDescent="0.3">
      <c r="A233" s="612" t="s">
        <v>452</v>
      </c>
      <c r="B233" s="611"/>
      <c r="C233" s="611"/>
      <c r="D233" s="610">
        <f>'[1]Nota II.1.8'!C100</f>
        <v>777038237.29999995</v>
      </c>
      <c r="E233" s="609">
        <f>'[1]Nota II.1.8'!D100</f>
        <v>259439915.63999999</v>
      </c>
      <c r="F233" s="609">
        <f>'[1]Nota II.1.8'!E100</f>
        <v>2490303.87</v>
      </c>
      <c r="G233" s="609">
        <f>'[1]Nota II.1.8'!F100</f>
        <v>117444757.45999999</v>
      </c>
      <c r="H233" s="608">
        <f>D233+E233-F233-G233</f>
        <v>916543091.6099999</v>
      </c>
    </row>
    <row r="234" spans="1:8" ht="15.75" customHeight="1" thickBot="1" x14ac:dyDescent="0.3">
      <c r="A234" s="530" t="s">
        <v>176</v>
      </c>
      <c r="B234" s="607"/>
      <c r="C234" s="606"/>
      <c r="D234" s="605">
        <f>SUM(D224:D233)</f>
        <v>1582486965.03</v>
      </c>
      <c r="E234" s="605">
        <f>SUM(E224:E233)</f>
        <v>458199956.77999997</v>
      </c>
      <c r="F234" s="605">
        <f>SUM(F224:F233)</f>
        <v>12778802.080000002</v>
      </c>
      <c r="G234" s="605">
        <f>SUM(G224:G233)</f>
        <v>194525118.01999998</v>
      </c>
      <c r="H234" s="604">
        <f>SUM(H224:H233)</f>
        <v>1833383001.7099998</v>
      </c>
    </row>
    <row r="235" spans="1:8" x14ac:dyDescent="0.2">
      <c r="A235" s="106"/>
      <c r="B235" s="106"/>
      <c r="C235" s="106"/>
      <c r="D235" s="106"/>
      <c r="E235" s="106"/>
      <c r="F235" s="106"/>
      <c r="G235" s="106"/>
    </row>
    <row r="236" spans="1:8" x14ac:dyDescent="0.25">
      <c r="A236" s="603"/>
      <c r="B236" s="603"/>
      <c r="C236" s="603"/>
      <c r="D236" s="603"/>
      <c r="E236" s="603"/>
      <c r="F236" s="603"/>
      <c r="G236" s="603"/>
    </row>
    <row r="237" spans="1:8" x14ac:dyDescent="0.25">
      <c r="A237" s="603"/>
      <c r="B237" s="603"/>
      <c r="C237" s="603"/>
      <c r="D237" s="603"/>
      <c r="E237" s="603"/>
      <c r="F237" s="603"/>
      <c r="G237" s="603"/>
    </row>
    <row r="238" spans="1:8" x14ac:dyDescent="0.25">
      <c r="A238" s="125" t="s">
        <v>451</v>
      </c>
      <c r="B238" s="125"/>
      <c r="C238" s="125"/>
    </row>
    <row r="239" spans="1:8" ht="13.5" thickBot="1" x14ac:dyDescent="0.25">
      <c r="A239" s="106"/>
      <c r="B239" s="106"/>
      <c r="C239" s="106"/>
    </row>
    <row r="240" spans="1:8" ht="13.5" thickBot="1" x14ac:dyDescent="0.3">
      <c r="A240" s="530" t="s">
        <v>173</v>
      </c>
      <c r="B240" s="591"/>
      <c r="C240" s="602" t="s">
        <v>7</v>
      </c>
      <c r="D240" s="181" t="s">
        <v>8</v>
      </c>
    </row>
    <row r="241" spans="1:6" ht="13.5" thickBot="1" x14ac:dyDescent="0.3">
      <c r="A241" s="530" t="s">
        <v>450</v>
      </c>
      <c r="B241" s="591"/>
      <c r="C241" s="600">
        <f>SUM(C242:C244)</f>
        <v>0</v>
      </c>
      <c r="D241" s="600">
        <f>SUM(D242:D244)</f>
        <v>0</v>
      </c>
    </row>
    <row r="242" spans="1:6" x14ac:dyDescent="0.25">
      <c r="A242" s="598" t="s">
        <v>447</v>
      </c>
      <c r="B242" s="597"/>
      <c r="C242" s="592">
        <f>'[1]Nota II.1.9'!B48</f>
        <v>0</v>
      </c>
      <c r="D242" s="592">
        <f>'[1]Nota II.1.9'!C48</f>
        <v>0</v>
      </c>
    </row>
    <row r="243" spans="1:6" x14ac:dyDescent="0.25">
      <c r="A243" s="596" t="s">
        <v>446</v>
      </c>
      <c r="B243" s="595"/>
      <c r="C243" s="592">
        <f>'[1]Nota II.1.9'!B49</f>
        <v>0</v>
      </c>
      <c r="D243" s="592">
        <f>'[1]Nota II.1.9'!C49</f>
        <v>0</v>
      </c>
    </row>
    <row r="244" spans="1:6" ht="13.5" thickBot="1" x14ac:dyDescent="0.3">
      <c r="A244" s="594" t="s">
        <v>445</v>
      </c>
      <c r="B244" s="593"/>
      <c r="C244" s="592">
        <f>'[1]Nota II.1.9'!B50</f>
        <v>0</v>
      </c>
      <c r="D244" s="592">
        <f>'[1]Nota II.1.9'!C50</f>
        <v>0</v>
      </c>
    </row>
    <row r="245" spans="1:6" ht="26.25" customHeight="1" thickBot="1" x14ac:dyDescent="0.3">
      <c r="A245" s="530" t="s">
        <v>449</v>
      </c>
      <c r="B245" s="591"/>
      <c r="C245" s="601">
        <f>SUM(C246:C248)</f>
        <v>252591.20000000007</v>
      </c>
      <c r="D245" s="600">
        <f>SUM(D246:D248)</f>
        <v>243222.22</v>
      </c>
    </row>
    <row r="246" spans="1:6" x14ac:dyDescent="0.25">
      <c r="A246" s="598" t="s">
        <v>447</v>
      </c>
      <c r="B246" s="597"/>
      <c r="C246" s="592">
        <f>'[1]Nota II.1.9'!B52</f>
        <v>18098.560000000056</v>
      </c>
      <c r="D246" s="592">
        <f>'[1]Nota II.1.9'!C52</f>
        <v>15666.239999999991</v>
      </c>
    </row>
    <row r="247" spans="1:6" x14ac:dyDescent="0.25">
      <c r="A247" s="596" t="s">
        <v>446</v>
      </c>
      <c r="B247" s="595"/>
      <c r="C247" s="592">
        <f>'[1]Nota II.1.9'!B53</f>
        <v>116105.89</v>
      </c>
      <c r="D247" s="592">
        <f>'[1]Nota II.1.9'!C53</f>
        <v>114738.13</v>
      </c>
    </row>
    <row r="248" spans="1:6" ht="13.5" thickBot="1" x14ac:dyDescent="0.3">
      <c r="A248" s="594" t="s">
        <v>445</v>
      </c>
      <c r="B248" s="593"/>
      <c r="C248" s="592">
        <f>'[1]Nota II.1.9'!B54</f>
        <v>118386.75</v>
      </c>
      <c r="D248" s="592">
        <f>'[1]Nota II.1.9'!C54</f>
        <v>112817.85</v>
      </c>
    </row>
    <row r="249" spans="1:6" ht="26.25" customHeight="1" thickBot="1" x14ac:dyDescent="0.3">
      <c r="A249" s="530" t="s">
        <v>448</v>
      </c>
      <c r="B249" s="591"/>
      <c r="C249" s="599">
        <f>SUM(C250:C252)</f>
        <v>367291.62</v>
      </c>
      <c r="D249" s="381">
        <f>SUM(D250:D252)</f>
        <v>312910.7</v>
      </c>
    </row>
    <row r="250" spans="1:6" ht="25.5" customHeight="1" x14ac:dyDescent="0.25">
      <c r="A250" s="598" t="s">
        <v>447</v>
      </c>
      <c r="B250" s="597"/>
      <c r="C250" s="592">
        <f>'[1]Nota II.1.9'!B56</f>
        <v>64319.199999999997</v>
      </c>
      <c r="D250" s="592">
        <f>'[1]Nota II.1.9'!C56</f>
        <v>55821.74</v>
      </c>
    </row>
    <row r="251" spans="1:6" x14ac:dyDescent="0.25">
      <c r="A251" s="596" t="s">
        <v>446</v>
      </c>
      <c r="B251" s="595"/>
      <c r="C251" s="592">
        <f>'[1]Nota II.1.9'!B57</f>
        <v>46708.19</v>
      </c>
      <c r="D251" s="592">
        <f>'[1]Nota II.1.9'!C57</f>
        <v>42025.58</v>
      </c>
    </row>
    <row r="252" spans="1:6" ht="13.5" thickBot="1" x14ac:dyDescent="0.3">
      <c r="A252" s="594" t="s">
        <v>445</v>
      </c>
      <c r="B252" s="593"/>
      <c r="C252" s="592">
        <f>'[1]Nota II.1.9'!B58</f>
        <v>256264.23</v>
      </c>
      <c r="D252" s="592">
        <f>'[1]Nota II.1.9'!C58</f>
        <v>215063.38</v>
      </c>
    </row>
    <row r="253" spans="1:6" ht="13.5" thickBot="1" x14ac:dyDescent="0.3">
      <c r="A253" s="530" t="s">
        <v>176</v>
      </c>
      <c r="B253" s="591"/>
      <c r="C253" s="590">
        <f>C241+C245+C249</f>
        <v>619882.82000000007</v>
      </c>
      <c r="D253" s="590">
        <f>D241+D245+D249</f>
        <v>556132.92000000004</v>
      </c>
    </row>
    <row r="256" spans="1:6" ht="29.25" customHeight="1" x14ac:dyDescent="0.25">
      <c r="A256" s="125" t="s">
        <v>444</v>
      </c>
      <c r="B256" s="125"/>
      <c r="C256" s="125"/>
      <c r="D256" s="328"/>
      <c r="E256" s="328"/>
      <c r="F256" s="328"/>
    </row>
    <row r="257" spans="1:5" x14ac:dyDescent="0.25">
      <c r="A257" s="589"/>
      <c r="B257" s="589"/>
      <c r="C257" s="589"/>
    </row>
    <row r="258" spans="1:5" x14ac:dyDescent="0.25">
      <c r="A258" s="102" t="s">
        <v>443</v>
      </c>
    </row>
    <row r="261" spans="1:5" x14ac:dyDescent="0.25">
      <c r="A261" s="588" t="s">
        <v>442</v>
      </c>
      <c r="B261" s="588"/>
      <c r="C261" s="588"/>
      <c r="D261" s="588"/>
      <c r="E261" s="588"/>
    </row>
    <row r="262" spans="1:5" x14ac:dyDescent="0.25">
      <c r="A262" s="362"/>
      <c r="B262" s="362"/>
      <c r="C262" s="362"/>
      <c r="D262" s="362"/>
      <c r="E262" s="362"/>
    </row>
    <row r="263" spans="1:5" x14ac:dyDescent="0.25">
      <c r="A263" s="102" t="s">
        <v>441</v>
      </c>
    </row>
    <row r="274" spans="1:9" x14ac:dyDescent="0.25">
      <c r="A274" s="125" t="s">
        <v>440</v>
      </c>
      <c r="B274" s="125"/>
      <c r="C274" s="125"/>
      <c r="D274" s="328"/>
      <c r="E274" s="328"/>
      <c r="F274" s="328"/>
      <c r="G274" s="328"/>
      <c r="H274" s="328"/>
      <c r="I274" s="328"/>
    </row>
    <row r="275" spans="1:9" ht="13.5" thickBot="1" x14ac:dyDescent="0.3">
      <c r="A275" s="497"/>
      <c r="G275" s="300"/>
    </row>
    <row r="276" spans="1:9" ht="33.75" customHeight="1" thickBot="1" x14ac:dyDescent="0.25">
      <c r="A276" s="587" t="s">
        <v>439</v>
      </c>
      <c r="B276" s="586"/>
      <c r="C276" s="585" t="s">
        <v>387</v>
      </c>
      <c r="D276" s="493" t="s">
        <v>8</v>
      </c>
      <c r="E276" s="584" t="s">
        <v>438</v>
      </c>
      <c r="F276" s="583"/>
      <c r="G276" s="582"/>
      <c r="H276" s="582"/>
      <c r="I276" s="581"/>
    </row>
    <row r="277" spans="1:9" ht="80.25" customHeight="1" x14ac:dyDescent="0.2">
      <c r="A277" s="580" t="s">
        <v>437</v>
      </c>
      <c r="B277" s="579"/>
      <c r="C277" s="578">
        <f>'[1]Nota II.1.12a'!B44</f>
        <v>30968397.510000002</v>
      </c>
      <c r="D277" s="578">
        <f>'[1]Nota II.1.12a'!C44</f>
        <v>9459459.4000000004</v>
      </c>
      <c r="E277" s="577" t="s">
        <v>436</v>
      </c>
      <c r="F277" s="576"/>
      <c r="G277" s="576"/>
      <c r="H277" s="576"/>
      <c r="I277" s="575"/>
    </row>
    <row r="278" spans="1:9" ht="14.25" customHeight="1" x14ac:dyDescent="0.2">
      <c r="A278" s="567" t="s">
        <v>435</v>
      </c>
      <c r="B278" s="566"/>
      <c r="C278" s="565">
        <f>'[1]Nota II.1.12a'!B45</f>
        <v>0</v>
      </c>
      <c r="D278" s="565">
        <f>'[1]Nota II.1.12a'!C45</f>
        <v>0</v>
      </c>
      <c r="E278" s="564"/>
      <c r="F278" s="563"/>
      <c r="G278" s="563"/>
      <c r="H278" s="563"/>
      <c r="I278" s="562"/>
    </row>
    <row r="279" spans="1:9" ht="15" customHeight="1" x14ac:dyDescent="0.2">
      <c r="A279" s="574" t="s">
        <v>434</v>
      </c>
      <c r="B279" s="573"/>
      <c r="C279" s="565">
        <f>'[1]Nota II.1.12a'!B46</f>
        <v>0</v>
      </c>
      <c r="D279" s="565">
        <f>'[1]Nota II.1.12a'!C46</f>
        <v>0</v>
      </c>
      <c r="E279" s="572"/>
      <c r="F279" s="571"/>
      <c r="G279" s="571"/>
      <c r="H279" s="571"/>
      <c r="I279" s="570"/>
    </row>
    <row r="280" spans="1:9" ht="14.25" customHeight="1" x14ac:dyDescent="0.2">
      <c r="A280" s="569" t="s">
        <v>433</v>
      </c>
      <c r="B280" s="568"/>
      <c r="C280" s="565">
        <f>'[1]Nota II.1.12a'!B47</f>
        <v>0</v>
      </c>
      <c r="D280" s="565">
        <f>'[1]Nota II.1.12a'!C47</f>
        <v>0</v>
      </c>
      <c r="E280" s="564"/>
      <c r="F280" s="563"/>
      <c r="G280" s="563"/>
      <c r="H280" s="563"/>
      <c r="I280" s="562"/>
    </row>
    <row r="281" spans="1:9" ht="14.25" customHeight="1" x14ac:dyDescent="0.2">
      <c r="A281" s="567" t="s">
        <v>432</v>
      </c>
      <c r="B281" s="566"/>
      <c r="C281" s="565">
        <f>'[1]Nota II.1.12a'!B48</f>
        <v>0</v>
      </c>
      <c r="D281" s="565">
        <f>'[1]Nota II.1.12a'!C48</f>
        <v>0</v>
      </c>
      <c r="E281" s="564"/>
      <c r="F281" s="563"/>
      <c r="G281" s="563"/>
      <c r="H281" s="563"/>
      <c r="I281" s="562"/>
    </row>
    <row r="282" spans="1:9" ht="14.25" customHeight="1" x14ac:dyDescent="0.2">
      <c r="A282" s="567" t="s">
        <v>431</v>
      </c>
      <c r="B282" s="566"/>
      <c r="C282" s="565">
        <f>'[1]Nota II.1.12a'!B49</f>
        <v>0</v>
      </c>
      <c r="D282" s="565">
        <f>'[1]Nota II.1.12a'!C49</f>
        <v>0</v>
      </c>
      <c r="E282" s="564"/>
      <c r="F282" s="563"/>
      <c r="G282" s="563"/>
      <c r="H282" s="563"/>
      <c r="I282" s="562"/>
    </row>
    <row r="283" spans="1:9" ht="14.25" customHeight="1" x14ac:dyDescent="0.2">
      <c r="A283" s="567" t="s">
        <v>430</v>
      </c>
      <c r="B283" s="566"/>
      <c r="C283" s="565">
        <f>'[1]Nota II.1.12a'!B50</f>
        <v>0</v>
      </c>
      <c r="D283" s="565">
        <f>'[1]Nota II.1.12a'!C50</f>
        <v>0</v>
      </c>
      <c r="E283" s="564"/>
      <c r="F283" s="563"/>
      <c r="G283" s="563"/>
      <c r="H283" s="563"/>
      <c r="I283" s="562"/>
    </row>
    <row r="284" spans="1:9" x14ac:dyDescent="0.2">
      <c r="A284" s="567" t="s">
        <v>429</v>
      </c>
      <c r="B284" s="566"/>
      <c r="C284" s="565">
        <f>'[1]Nota II.1.12a'!B51</f>
        <v>0</v>
      </c>
      <c r="D284" s="565">
        <f>'[1]Nota II.1.12a'!C51</f>
        <v>0</v>
      </c>
      <c r="E284" s="564"/>
      <c r="F284" s="563"/>
      <c r="G284" s="563"/>
      <c r="H284" s="563"/>
      <c r="I284" s="562"/>
    </row>
    <row r="285" spans="1:9" ht="15.75" customHeight="1" thickBot="1" x14ac:dyDescent="0.25">
      <c r="A285" s="561" t="s">
        <v>266</v>
      </c>
      <c r="B285" s="560"/>
      <c r="C285" s="559">
        <f>'[1]Nota II.1.12a'!B52</f>
        <v>0</v>
      </c>
      <c r="D285" s="559">
        <f>'[1]Nota II.1.12a'!C52</f>
        <v>0</v>
      </c>
      <c r="E285" s="558"/>
      <c r="F285" s="557"/>
      <c r="G285" s="557"/>
      <c r="H285" s="557"/>
      <c r="I285" s="556"/>
    </row>
    <row r="286" spans="1:9" ht="15.75" customHeight="1" thickBot="1" x14ac:dyDescent="0.3">
      <c r="A286" s="555" t="s">
        <v>176</v>
      </c>
      <c r="B286" s="554"/>
      <c r="C286" s="525">
        <f>C277+C278+C280+C284</f>
        <v>30968397.510000002</v>
      </c>
      <c r="D286" s="155">
        <f>D277+D278+D280+D284</f>
        <v>9459459.4000000004</v>
      </c>
      <c r="E286" s="553"/>
      <c r="F286" s="552"/>
      <c r="G286" s="552"/>
      <c r="H286" s="552"/>
      <c r="I286" s="551"/>
    </row>
    <row r="287" spans="1:9" s="548" customFormat="1" x14ac:dyDescent="0.25">
      <c r="A287" s="550"/>
      <c r="B287" s="550"/>
      <c r="C287" s="549"/>
      <c r="D287" s="549"/>
      <c r="E287" s="549"/>
    </row>
    <row r="288" spans="1:9" s="548" customFormat="1" x14ac:dyDescent="0.25">
      <c r="A288" s="550"/>
      <c r="B288" s="550"/>
      <c r="C288" s="549"/>
      <c r="D288" s="549"/>
      <c r="E288" s="549"/>
    </row>
    <row r="289" spans="1:4" x14ac:dyDescent="0.25">
      <c r="A289" s="187" t="s">
        <v>428</v>
      </c>
      <c r="B289" s="187"/>
      <c r="C289" s="187"/>
      <c r="D289" s="187"/>
    </row>
    <row r="290" spans="1:4" ht="13.5" thickBot="1" x14ac:dyDescent="0.3">
      <c r="A290" s="547"/>
      <c r="B290" s="546"/>
      <c r="C290" s="186"/>
      <c r="D290" s="186"/>
    </row>
    <row r="291" spans="1:4" ht="13.5" thickBot="1" x14ac:dyDescent="0.3">
      <c r="A291" s="545" t="s">
        <v>427</v>
      </c>
      <c r="B291" s="544"/>
      <c r="C291" s="543" t="s">
        <v>387</v>
      </c>
      <c r="D291" s="181" t="s">
        <v>206</v>
      </c>
    </row>
    <row r="292" spans="1:4" ht="32.25" hidden="1" customHeight="1" x14ac:dyDescent="0.25">
      <c r="A292" s="542" t="s">
        <v>426</v>
      </c>
      <c r="B292" s="541"/>
      <c r="C292" s="540">
        <f>'[1]Nota II.1.12b'!C47</f>
        <v>0</v>
      </c>
      <c r="D292" s="539">
        <f>'[1]Nota II.1.12b'!D47</f>
        <v>0</v>
      </c>
    </row>
    <row r="293" spans="1:4" x14ac:dyDescent="0.25">
      <c r="A293" s="538" t="s">
        <v>425</v>
      </c>
      <c r="B293" s="537"/>
      <c r="C293" s="534">
        <f>'[1]Nota II.1.12b'!C98</f>
        <v>33090</v>
      </c>
      <c r="D293" s="536">
        <f>'[1]Nota II.1.12b'!D98</f>
        <v>23090</v>
      </c>
    </row>
    <row r="294" spans="1:4" hidden="1" x14ac:dyDescent="0.25">
      <c r="A294" s="538" t="s">
        <v>424</v>
      </c>
      <c r="B294" s="537"/>
      <c r="C294" s="534">
        <f>'[1]Nota II.1.12b'!C99</f>
        <v>0</v>
      </c>
      <c r="D294" s="536">
        <f>'[1]Nota II.1.12b'!D99</f>
        <v>0</v>
      </c>
    </row>
    <row r="295" spans="1:4" ht="25.5" customHeight="1" x14ac:dyDescent="0.25">
      <c r="A295" s="538" t="s">
        <v>423</v>
      </c>
      <c r="B295" s="537"/>
      <c r="C295" s="534">
        <f>'[1]Nota II.1.12b'!C100</f>
        <v>2861001820</v>
      </c>
      <c r="D295" s="536">
        <f>'[1]Nota II.1.12b'!D100</f>
        <v>2861001820</v>
      </c>
    </row>
    <row r="296" spans="1:4" ht="27" customHeight="1" x14ac:dyDescent="0.25">
      <c r="A296" s="538" t="s">
        <v>422</v>
      </c>
      <c r="B296" s="537"/>
      <c r="C296" s="534">
        <f>'[1]Nota II.1.12b'!C101</f>
        <v>6072334</v>
      </c>
      <c r="D296" s="536">
        <f>'[1]Nota II.1.12b'!D101</f>
        <v>6072334</v>
      </c>
    </row>
    <row r="297" spans="1:4" x14ac:dyDescent="0.25">
      <c r="A297" s="310" t="s">
        <v>421</v>
      </c>
      <c r="B297" s="537"/>
      <c r="C297" s="534">
        <f>'[1]Nota II.1.12b'!C102</f>
        <v>0</v>
      </c>
      <c r="D297" s="536">
        <f>'[1]Nota II.1.12b'!D102</f>
        <v>0</v>
      </c>
    </row>
    <row r="298" spans="1:4" ht="29.25" customHeight="1" x14ac:dyDescent="0.25">
      <c r="A298" s="310" t="s">
        <v>420</v>
      </c>
      <c r="B298" s="537"/>
      <c r="C298" s="534">
        <f>'[1]Nota II.1.12b'!C103</f>
        <v>0</v>
      </c>
      <c r="D298" s="536">
        <f>'[1]Nota II.1.12b'!D103</f>
        <v>0</v>
      </c>
    </row>
    <row r="299" spans="1:4" ht="25.5" customHeight="1" x14ac:dyDescent="0.25">
      <c r="A299" s="310" t="s">
        <v>419</v>
      </c>
      <c r="B299" s="537"/>
      <c r="C299" s="534">
        <f>'[1]Nota II.1.12b'!C104</f>
        <v>3840129</v>
      </c>
      <c r="D299" s="536">
        <f>'[1]Nota II.1.12b'!D104</f>
        <v>4530310</v>
      </c>
    </row>
    <row r="300" spans="1:4" x14ac:dyDescent="0.25">
      <c r="A300" s="310" t="s">
        <v>418</v>
      </c>
      <c r="B300" s="308"/>
      <c r="C300" s="534">
        <f>'[1]Nota II.1.12b'!E137</f>
        <v>7303279.5800000001</v>
      </c>
      <c r="D300" s="534">
        <f>'[1]Nota II.1.12b'!F137</f>
        <v>9694404.5500000007</v>
      </c>
    </row>
    <row r="301" spans="1:4" ht="13.5" thickBot="1" x14ac:dyDescent="0.3">
      <c r="A301" s="321" t="s">
        <v>417</v>
      </c>
      <c r="B301" s="535"/>
      <c r="C301" s="534">
        <f>'[1]Nota II.1.12b'!C105-'[1]Nota II.1.12b'!C106</f>
        <v>314134610.78000003</v>
      </c>
      <c r="D301" s="534">
        <f>'[1]Nota II.1.12b'!D105-'[1]Nota II.1.12b'!D106</f>
        <v>185401722.41999999</v>
      </c>
    </row>
    <row r="302" spans="1:4" ht="13.5" thickBot="1" x14ac:dyDescent="0.3">
      <c r="A302" s="530" t="s">
        <v>176</v>
      </c>
      <c r="B302" s="533"/>
      <c r="C302" s="381">
        <f>SUM(C292:C301)</f>
        <v>3192385263.3600001</v>
      </c>
      <c r="D302" s="381">
        <f>SUM(D292:D301)</f>
        <v>3066723680.9700003</v>
      </c>
    </row>
    <row r="303" spans="1:4" x14ac:dyDescent="0.2">
      <c r="A303" s="106"/>
      <c r="B303" s="106"/>
      <c r="C303" s="106"/>
      <c r="D303" s="106"/>
    </row>
    <row r="304" spans="1:4" x14ac:dyDescent="0.2">
      <c r="A304" s="106"/>
      <c r="B304" s="106"/>
      <c r="C304" s="106"/>
      <c r="D304" s="106"/>
    </row>
    <row r="305" spans="1:8" x14ac:dyDescent="0.2">
      <c r="A305" s="106"/>
      <c r="B305" s="106"/>
      <c r="C305" s="106"/>
      <c r="D305" s="106"/>
    </row>
    <row r="306" spans="1:8" x14ac:dyDescent="0.25">
      <c r="A306" s="532" t="s">
        <v>416</v>
      </c>
      <c r="B306" s="532"/>
      <c r="C306" s="532"/>
    </row>
    <row r="307" spans="1:8" ht="13.5" thickBot="1" x14ac:dyDescent="0.3">
      <c r="A307" s="531"/>
      <c r="B307" s="186"/>
      <c r="C307" s="186"/>
    </row>
    <row r="308" spans="1:8" ht="13.5" thickBot="1" x14ac:dyDescent="0.3">
      <c r="A308" s="530" t="s">
        <v>415</v>
      </c>
      <c r="B308" s="485"/>
      <c r="C308" s="529" t="s">
        <v>7</v>
      </c>
      <c r="D308" s="401" t="s">
        <v>8</v>
      </c>
      <c r="G308" s="528"/>
      <c r="H308" s="528"/>
    </row>
    <row r="309" spans="1:8" ht="13.5" thickBot="1" x14ac:dyDescent="0.3">
      <c r="A309" s="216" t="s">
        <v>414</v>
      </c>
      <c r="B309" s="214"/>
      <c r="C309" s="525">
        <f>SUM(C310:C319)</f>
        <v>5303272.26</v>
      </c>
      <c r="D309" s="213">
        <f>SUM(D310:D319)</f>
        <v>4013577.02</v>
      </c>
      <c r="G309" s="528"/>
      <c r="H309" s="528"/>
    </row>
    <row r="310" spans="1:8" ht="55.5" customHeight="1" x14ac:dyDescent="0.25">
      <c r="A310" s="524" t="s">
        <v>411</v>
      </c>
      <c r="B310" s="523"/>
      <c r="C310" s="522">
        <f>'[1]Nota II.1.13a'!B73</f>
        <v>0</v>
      </c>
      <c r="D310" s="522">
        <f>'[1]Nota II.1.13a'!C73</f>
        <v>0</v>
      </c>
      <c r="G310" s="528"/>
      <c r="H310" s="528"/>
    </row>
    <row r="311" spans="1:8" hidden="1" x14ac:dyDescent="0.25">
      <c r="A311" s="521" t="s">
        <v>410</v>
      </c>
      <c r="B311" s="520"/>
      <c r="C311" s="517">
        <f>'[1]Nota II.1.13a'!B43</f>
        <v>0</v>
      </c>
      <c r="D311" s="517">
        <f>'[1]Nota II.1.13a'!C43</f>
        <v>0</v>
      </c>
    </row>
    <row r="312" spans="1:8" x14ac:dyDescent="0.25">
      <c r="A312" s="272" t="s">
        <v>409</v>
      </c>
      <c r="B312" s="271"/>
      <c r="C312" s="517">
        <f>'[1]Nota II.1.13a'!B75</f>
        <v>98842.91</v>
      </c>
      <c r="D312" s="517">
        <f>'[1]Nota II.1.13a'!C75</f>
        <v>77432.509999999995</v>
      </c>
    </row>
    <row r="313" spans="1:8" hidden="1" x14ac:dyDescent="0.25">
      <c r="A313" s="268" t="s">
        <v>408</v>
      </c>
      <c r="B313" s="267"/>
      <c r="C313" s="517">
        <f>'[1]Nota II.1.13a'!B45</f>
        <v>0</v>
      </c>
      <c r="D313" s="517">
        <f>'[1]Nota II.1.13a'!C45</f>
        <v>0</v>
      </c>
    </row>
    <row r="314" spans="1:8" ht="32.25" customHeight="1" x14ac:dyDescent="0.25">
      <c r="A314" s="268" t="s">
        <v>407</v>
      </c>
      <c r="B314" s="267"/>
      <c r="C314" s="517">
        <f>'[1]Nota II.1.13a'!B77</f>
        <v>4679689.96</v>
      </c>
      <c r="D314" s="517">
        <f>'[1]Nota II.1.13a'!C77</f>
        <v>2027280.09</v>
      </c>
    </row>
    <row r="315" spans="1:8" x14ac:dyDescent="0.25">
      <c r="A315" s="270" t="s">
        <v>406</v>
      </c>
      <c r="B315" s="269"/>
      <c r="C315" s="517">
        <f>'[1]Nota II.1.13a'!B78</f>
        <v>15.37</v>
      </c>
      <c r="D315" s="517">
        <f>'[1]Nota II.1.13a'!C78</f>
        <v>0</v>
      </c>
    </row>
    <row r="316" spans="1:8" x14ac:dyDescent="0.25">
      <c r="A316" s="270" t="s">
        <v>405</v>
      </c>
      <c r="B316" s="269"/>
      <c r="C316" s="517">
        <f>'[1]Nota II.1.13a'!B79</f>
        <v>0</v>
      </c>
      <c r="D316" s="517">
        <f>'[1]Nota II.1.13a'!C79</f>
        <v>0</v>
      </c>
    </row>
    <row r="317" spans="1:8" hidden="1" x14ac:dyDescent="0.25">
      <c r="A317" s="272" t="s">
        <v>413</v>
      </c>
      <c r="B317" s="271"/>
      <c r="C317" s="517">
        <f>'[1]Nota II.1.13a'!B49</f>
        <v>0</v>
      </c>
      <c r="D317" s="517">
        <f>'[1]Nota II.1.13a'!C49</f>
        <v>0</v>
      </c>
    </row>
    <row r="318" spans="1:8" hidden="1" x14ac:dyDescent="0.25">
      <c r="A318" s="270" t="s">
        <v>403</v>
      </c>
      <c r="B318" s="269"/>
      <c r="C318" s="517">
        <f>'[1]Nota II.1.13a'!B50</f>
        <v>0</v>
      </c>
      <c r="D318" s="517">
        <f>'[1]Nota II.1.13a'!C50</f>
        <v>0</v>
      </c>
    </row>
    <row r="319" spans="1:8" ht="13.5" thickBot="1" x14ac:dyDescent="0.3">
      <c r="A319" s="527" t="s">
        <v>266</v>
      </c>
      <c r="B319" s="526"/>
      <c r="C319" s="516">
        <f>'[1]Nota II.1.13a'!B82</f>
        <v>524724.02</v>
      </c>
      <c r="D319" s="516">
        <f>'[1]Nota II.1.13a'!C82</f>
        <v>1908864.42</v>
      </c>
    </row>
    <row r="320" spans="1:8" ht="13.5" thickBot="1" x14ac:dyDescent="0.3">
      <c r="A320" s="216" t="s">
        <v>412</v>
      </c>
      <c r="B320" s="214"/>
      <c r="C320" s="525">
        <f>SUM(C321:C330)</f>
        <v>47154417.859999999</v>
      </c>
      <c r="D320" s="155">
        <f>SUM(D321:D330)</f>
        <v>39560882.090000004</v>
      </c>
    </row>
    <row r="321" spans="1:4" ht="59.25" customHeight="1" x14ac:dyDescent="0.25">
      <c r="A321" s="524" t="s">
        <v>411</v>
      </c>
      <c r="B321" s="523"/>
      <c r="C321" s="522">
        <f>'[1]Nota II.1.13a'!B84</f>
        <v>0</v>
      </c>
      <c r="D321" s="522">
        <f>'[1]Nota II.1.13a'!C84</f>
        <v>0</v>
      </c>
    </row>
    <row r="322" spans="1:4" x14ac:dyDescent="0.25">
      <c r="A322" s="521" t="s">
        <v>410</v>
      </c>
      <c r="B322" s="520"/>
      <c r="C322" s="517">
        <f>'[1]Nota II.1.13a'!B85</f>
        <v>2759468.31</v>
      </c>
      <c r="D322" s="517">
        <f>'[1]Nota II.1.13a'!C85</f>
        <v>2019419.62</v>
      </c>
    </row>
    <row r="323" spans="1:4" x14ac:dyDescent="0.25">
      <c r="A323" s="272" t="s">
        <v>409</v>
      </c>
      <c r="B323" s="271"/>
      <c r="C323" s="517">
        <f>'[1]Nota II.1.13a'!B86</f>
        <v>23044.74</v>
      </c>
      <c r="D323" s="517">
        <f>'[1]Nota II.1.13a'!C86</f>
        <v>21539.15</v>
      </c>
    </row>
    <row r="324" spans="1:4" hidden="1" x14ac:dyDescent="0.25">
      <c r="A324" s="268" t="s">
        <v>408</v>
      </c>
      <c r="B324" s="267"/>
      <c r="C324" s="517">
        <f>'[1]Nota II.1.13a'!B87</f>
        <v>0</v>
      </c>
      <c r="D324" s="517">
        <f>'[1]Nota II.1.13a'!C87</f>
        <v>0</v>
      </c>
    </row>
    <row r="325" spans="1:4" ht="24.75" customHeight="1" x14ac:dyDescent="0.25">
      <c r="A325" s="268" t="s">
        <v>407</v>
      </c>
      <c r="B325" s="267"/>
      <c r="C325" s="517">
        <f>'[1]Nota II.1.13a'!B88</f>
        <v>30745448.239999998</v>
      </c>
      <c r="D325" s="517">
        <f>'[1]Nota II.1.13a'!C88</f>
        <v>35563439.520000003</v>
      </c>
    </row>
    <row r="326" spans="1:4" x14ac:dyDescent="0.25">
      <c r="A326" s="268" t="s">
        <v>406</v>
      </c>
      <c r="B326" s="267"/>
      <c r="C326" s="517">
        <f>'[1]Nota II.1.13a'!B89</f>
        <v>30947.09</v>
      </c>
      <c r="D326" s="517">
        <f>'[1]Nota II.1.13a'!C89</f>
        <v>32286.62</v>
      </c>
    </row>
    <row r="327" spans="1:4" x14ac:dyDescent="0.25">
      <c r="A327" s="270" t="s">
        <v>405</v>
      </c>
      <c r="B327" s="269"/>
      <c r="C327" s="517">
        <f>'[1]Nota II.1.13a'!B90</f>
        <v>12343203.939999999</v>
      </c>
      <c r="D327" s="517">
        <f>'[1]Nota II.1.13a'!C90</f>
        <v>36755.06</v>
      </c>
    </row>
    <row r="328" spans="1:4" x14ac:dyDescent="0.25">
      <c r="A328" s="270" t="s">
        <v>404</v>
      </c>
      <c r="B328" s="269"/>
      <c r="C328" s="517">
        <f>'[1]Nota II.1.13a'!B91</f>
        <v>107069.16</v>
      </c>
      <c r="D328" s="517">
        <f>'[1]Nota II.1.13a'!C91</f>
        <v>146843.37</v>
      </c>
    </row>
    <row r="329" spans="1:4" hidden="1" x14ac:dyDescent="0.25">
      <c r="A329" s="270" t="s">
        <v>403</v>
      </c>
      <c r="B329" s="269"/>
      <c r="C329" s="517">
        <f>'[1]Nota II.1.13a'!B92</f>
        <v>0</v>
      </c>
      <c r="D329" s="517">
        <f>'[1]Nota II.1.13a'!C92</f>
        <v>0</v>
      </c>
    </row>
    <row r="330" spans="1:4" ht="13.5" thickBot="1" x14ac:dyDescent="0.3">
      <c r="A330" s="519" t="s">
        <v>402</v>
      </c>
      <c r="B330" s="518"/>
      <c r="C330" s="517">
        <f>'[1]Nota II.1.13a'!B93</f>
        <v>1145236.3799999999</v>
      </c>
      <c r="D330" s="516">
        <f>'[1]Nota II.1.13a'!C93</f>
        <v>1740598.75</v>
      </c>
    </row>
    <row r="331" spans="1:4" ht="13.5" thickBot="1" x14ac:dyDescent="0.3">
      <c r="A331" s="499" t="s">
        <v>176</v>
      </c>
      <c r="B331" s="498"/>
      <c r="C331" s="515">
        <f>C309+C320</f>
        <v>52457690.119999997</v>
      </c>
      <c r="D331" s="514">
        <f>D309+D320</f>
        <v>43574459.110000007</v>
      </c>
    </row>
    <row r="341" spans="1:5" ht="27" customHeight="1" x14ac:dyDescent="0.2">
      <c r="A341" s="513" t="s">
        <v>401</v>
      </c>
      <c r="B341" s="513"/>
      <c r="C341" s="513"/>
      <c r="D341" s="105"/>
      <c r="E341" s="105"/>
    </row>
    <row r="342" spans="1:5" ht="13.5" thickBot="1" x14ac:dyDescent="0.25">
      <c r="A342" s="186"/>
      <c r="B342" s="186"/>
      <c r="C342" s="186"/>
      <c r="D342" s="106"/>
    </row>
    <row r="343" spans="1:5" ht="13.5" thickBot="1" x14ac:dyDescent="0.3">
      <c r="A343" s="512" t="s">
        <v>400</v>
      </c>
      <c r="B343" s="511"/>
      <c r="C343" s="510" t="s">
        <v>7</v>
      </c>
      <c r="D343" s="181" t="s">
        <v>206</v>
      </c>
    </row>
    <row r="344" spans="1:5" x14ac:dyDescent="0.25">
      <c r="A344" s="509" t="s">
        <v>399</v>
      </c>
      <c r="B344" s="508"/>
      <c r="C344" s="507">
        <f>SUM(C345:C351)</f>
        <v>140817824.39000002</v>
      </c>
      <c r="D344" s="507">
        <f>SUM(D345:D351)</f>
        <v>152295740.52000001</v>
      </c>
    </row>
    <row r="345" spans="1:5" x14ac:dyDescent="0.25">
      <c r="A345" s="506" t="s">
        <v>398</v>
      </c>
      <c r="B345" s="505"/>
      <c r="C345" s="500">
        <f>'[1]Nota II.1.13b'!B89</f>
        <v>112413297.87</v>
      </c>
      <c r="D345" s="500">
        <f>'[1]Nota II.1.13b'!C89</f>
        <v>117324055.54000001</v>
      </c>
    </row>
    <row r="346" spans="1:5" x14ac:dyDescent="0.25">
      <c r="A346" s="506" t="s">
        <v>397</v>
      </c>
      <c r="B346" s="505"/>
      <c r="C346" s="500">
        <f>'[1]Nota II.1.13b'!B90</f>
        <v>486237.4</v>
      </c>
      <c r="D346" s="500">
        <f>'[1]Nota II.1.13b'!C90</f>
        <v>429033</v>
      </c>
    </row>
    <row r="347" spans="1:5" ht="27.75" customHeight="1" x14ac:dyDescent="0.25">
      <c r="A347" s="225" t="s">
        <v>396</v>
      </c>
      <c r="B347" s="223"/>
      <c r="C347" s="500">
        <f>'[1]Nota II.1.13b'!B91</f>
        <v>7377355.1100000003</v>
      </c>
      <c r="D347" s="500">
        <f>'[1]Nota II.1.13b'!C91</f>
        <v>6847728.7699999996</v>
      </c>
    </row>
    <row r="348" spans="1:5" x14ac:dyDescent="0.25">
      <c r="A348" s="225" t="s">
        <v>395</v>
      </c>
      <c r="B348" s="223"/>
      <c r="C348" s="500">
        <f>'[1]Nota II.1.13b'!B92</f>
        <v>342612.88</v>
      </c>
      <c r="D348" s="500">
        <f>'[1]Nota II.1.13b'!C92</f>
        <v>80509.17</v>
      </c>
    </row>
    <row r="349" spans="1:5" ht="17.25" customHeight="1" x14ac:dyDescent="0.25">
      <c r="A349" s="225" t="s">
        <v>394</v>
      </c>
      <c r="B349" s="223"/>
      <c r="C349" s="500">
        <f>'[1]Nota II.1.13b'!B93</f>
        <v>0</v>
      </c>
      <c r="D349" s="500">
        <f>'[1]Nota II.1.13b'!C93</f>
        <v>0</v>
      </c>
    </row>
    <row r="350" spans="1:5" ht="16.5" customHeight="1" x14ac:dyDescent="0.25">
      <c r="A350" s="225" t="s">
        <v>393</v>
      </c>
      <c r="B350" s="223"/>
      <c r="C350" s="500">
        <f>'[1]Nota II.1.13b'!B94</f>
        <v>0</v>
      </c>
      <c r="D350" s="500">
        <f>'[1]Nota II.1.13b'!C94</f>
        <v>0</v>
      </c>
    </row>
    <row r="351" spans="1:5" x14ac:dyDescent="0.25">
      <c r="A351" s="225" t="s">
        <v>209</v>
      </c>
      <c r="B351" s="223"/>
      <c r="C351" s="500">
        <f>'[1]Nota II.1.13b'!B95</f>
        <v>20198321.129999999</v>
      </c>
      <c r="D351" s="500">
        <f>'[1]Nota II.1.13b'!C95</f>
        <v>27614414.039999999</v>
      </c>
    </row>
    <row r="352" spans="1:5" ht="13.5" thickBot="1" x14ac:dyDescent="0.3">
      <c r="A352" s="229" t="s">
        <v>392</v>
      </c>
      <c r="B352" s="227"/>
      <c r="C352" s="500">
        <f>'[1]Nota II.1.13b'!B96</f>
        <v>0</v>
      </c>
      <c r="D352" s="500">
        <f>'[1]Nota II.1.13b'!C96</f>
        <v>0</v>
      </c>
    </row>
    <row r="353" spans="1:5" ht="13.5" hidden="1" thickBot="1" x14ac:dyDescent="0.3">
      <c r="A353" s="504" t="s">
        <v>391</v>
      </c>
      <c r="B353" s="503"/>
      <c r="C353" s="500">
        <f>'[1]Nota II.1.13b'!B70</f>
        <v>0</v>
      </c>
      <c r="D353" s="500">
        <f>'[1]Nota II.1.13b'!C70</f>
        <v>0</v>
      </c>
    </row>
    <row r="354" spans="1:5" ht="13.5" hidden="1" thickBot="1" x14ac:dyDescent="0.3">
      <c r="A354" s="504" t="s">
        <v>390</v>
      </c>
      <c r="B354" s="503"/>
      <c r="C354" s="500">
        <f>'[1]Nota II.1.13b'!B71</f>
        <v>0</v>
      </c>
      <c r="D354" s="500">
        <f>'[1]Nota II.1.13b'!C71</f>
        <v>0</v>
      </c>
    </row>
    <row r="355" spans="1:5" ht="13.5" hidden="1" thickBot="1" x14ac:dyDescent="0.3">
      <c r="A355" s="504" t="s">
        <v>389</v>
      </c>
      <c r="B355" s="503"/>
      <c r="C355" s="500">
        <f>'[1]Nota II.1.13b'!B72</f>
        <v>0</v>
      </c>
      <c r="D355" s="500">
        <f>'[1]Nota II.1.13b'!C72</f>
        <v>0</v>
      </c>
    </row>
    <row r="356" spans="1:5" ht="13.5" hidden="1" thickBot="1" x14ac:dyDescent="0.3">
      <c r="A356" s="502" t="s">
        <v>209</v>
      </c>
      <c r="B356" s="501"/>
      <c r="C356" s="500">
        <f>'[1]Nota II.1.13b'!B73</f>
        <v>0</v>
      </c>
      <c r="D356" s="500">
        <f>'[1]Nota II.1.13b'!C73</f>
        <v>0</v>
      </c>
    </row>
    <row r="357" spans="1:5" ht="13.5" thickBot="1" x14ac:dyDescent="0.3">
      <c r="A357" s="499" t="s">
        <v>176</v>
      </c>
      <c r="B357" s="498"/>
      <c r="C357" s="126">
        <f>C344+C352</f>
        <v>140817824.39000002</v>
      </c>
      <c r="D357" s="126">
        <f>D344+D352</f>
        <v>152295740.52000001</v>
      </c>
    </row>
    <row r="360" spans="1:5" ht="26.25" customHeight="1" x14ac:dyDescent="0.25">
      <c r="A360" s="489" t="s">
        <v>388</v>
      </c>
      <c r="B360" s="488"/>
      <c r="C360" s="488"/>
      <c r="D360" s="488"/>
    </row>
    <row r="361" spans="1:5" ht="13.5" thickBot="1" x14ac:dyDescent="0.3">
      <c r="B361" s="497"/>
    </row>
    <row r="362" spans="1:5" ht="13.5" thickBot="1" x14ac:dyDescent="0.3">
      <c r="A362" s="496"/>
      <c r="B362" s="495"/>
      <c r="C362" s="494" t="s">
        <v>387</v>
      </c>
      <c r="D362" s="493" t="s">
        <v>8</v>
      </c>
    </row>
    <row r="363" spans="1:5" ht="13.5" thickBot="1" x14ac:dyDescent="0.3">
      <c r="A363" s="492" t="s">
        <v>386</v>
      </c>
      <c r="B363" s="491"/>
      <c r="C363" s="490">
        <f>'[1]Nota II.1.14'!C32</f>
        <v>262685156.75999999</v>
      </c>
      <c r="D363" s="490">
        <f>'[1]Nota II.1.14'!D32</f>
        <v>291785427.11000001</v>
      </c>
    </row>
    <row r="364" spans="1:5" ht="13.5" thickBot="1" x14ac:dyDescent="0.3">
      <c r="A364" s="216" t="s">
        <v>176</v>
      </c>
      <c r="B364" s="214"/>
      <c r="C364" s="155">
        <f>SUM(C363:C363)</f>
        <v>262685156.75999999</v>
      </c>
      <c r="D364" s="155">
        <f>SUM(D363:D363)</f>
        <v>291785427.11000001</v>
      </c>
    </row>
    <row r="367" spans="1:5" x14ac:dyDescent="0.2">
      <c r="A367" s="489" t="s">
        <v>385</v>
      </c>
      <c r="B367" s="488"/>
      <c r="C367" s="488"/>
      <c r="D367" s="488"/>
      <c r="E367" s="105"/>
    </row>
    <row r="368" spans="1:5" ht="13.5" thickBot="1" x14ac:dyDescent="0.25">
      <c r="E368" s="106"/>
    </row>
    <row r="369" spans="1:11" ht="26.25" thickBot="1" x14ac:dyDescent="0.25">
      <c r="A369" s="122" t="s">
        <v>173</v>
      </c>
      <c r="B369" s="487"/>
      <c r="C369" s="486" t="s">
        <v>384</v>
      </c>
      <c r="D369" s="486" t="s">
        <v>383</v>
      </c>
      <c r="E369" s="106"/>
    </row>
    <row r="370" spans="1:11" ht="13.5" thickBot="1" x14ac:dyDescent="0.25">
      <c r="A370" s="119" t="s">
        <v>382</v>
      </c>
      <c r="B370" s="485"/>
      <c r="C370" s="484">
        <f>'[1]Nota II.1.15'!C26</f>
        <v>22842092.629999999</v>
      </c>
      <c r="D370" s="484">
        <f>'[1]Nota II.1.15'!D26</f>
        <v>29688470.690000001</v>
      </c>
      <c r="E370" s="106"/>
    </row>
    <row r="371" spans="1:11" x14ac:dyDescent="0.2">
      <c r="A371" s="106"/>
      <c r="B371" s="106"/>
      <c r="C371" s="106"/>
      <c r="D371" s="106"/>
      <c r="E371" s="106"/>
    </row>
    <row r="372" spans="1:11" x14ac:dyDescent="0.2">
      <c r="A372" s="106"/>
      <c r="B372" s="106"/>
      <c r="C372" s="106"/>
      <c r="D372" s="106"/>
      <c r="E372" s="106"/>
    </row>
    <row r="373" spans="1:11" x14ac:dyDescent="0.2">
      <c r="A373" s="106"/>
      <c r="B373" s="106"/>
      <c r="C373" s="106"/>
      <c r="D373" s="106"/>
      <c r="E373" s="106"/>
    </row>
    <row r="374" spans="1:11" x14ac:dyDescent="0.2">
      <c r="A374" s="106"/>
      <c r="B374" s="106"/>
      <c r="C374" s="106"/>
      <c r="D374" s="106"/>
      <c r="E374" s="106"/>
    </row>
    <row r="375" spans="1:11" ht="29.25" customHeight="1" x14ac:dyDescent="0.2">
      <c r="A375" s="483"/>
      <c r="B375" s="482"/>
      <c r="C375" s="482"/>
      <c r="D375" s="105"/>
      <c r="E375" s="105"/>
    </row>
    <row r="380" spans="1:11" x14ac:dyDescent="0.25">
      <c r="A380" s="481" t="s">
        <v>381</v>
      </c>
      <c r="B380" s="481"/>
      <c r="C380" s="481"/>
      <c r="D380" s="481"/>
      <c r="E380" s="481"/>
      <c r="F380" s="481"/>
      <c r="G380" s="481"/>
      <c r="H380" s="481"/>
      <c r="I380" s="481"/>
    </row>
    <row r="382" spans="1:11" x14ac:dyDescent="0.25">
      <c r="A382" s="481" t="s">
        <v>380</v>
      </c>
      <c r="B382" s="481"/>
      <c r="C382" s="481"/>
      <c r="D382" s="481"/>
      <c r="E382" s="481"/>
      <c r="F382" s="481"/>
      <c r="G382" s="481"/>
      <c r="H382" s="481"/>
      <c r="I382" s="481"/>
    </row>
    <row r="383" spans="1:11" ht="13.5" thickBot="1" x14ac:dyDescent="0.3">
      <c r="A383" s="480"/>
      <c r="B383" s="480"/>
      <c r="C383" s="480"/>
      <c r="D383" s="480"/>
      <c r="E383" s="480"/>
      <c r="F383" s="480"/>
      <c r="G383" s="480"/>
      <c r="H383" s="480"/>
      <c r="I383" s="479"/>
    </row>
    <row r="384" spans="1:11" ht="26.25" thickBot="1" x14ac:dyDescent="0.3">
      <c r="A384" s="478" t="s">
        <v>379</v>
      </c>
      <c r="B384" s="476" t="s">
        <v>378</v>
      </c>
      <c r="C384" s="475"/>
      <c r="D384" s="474"/>
      <c r="E384" s="477" t="s">
        <v>377</v>
      </c>
      <c r="F384" s="476" t="s">
        <v>376</v>
      </c>
      <c r="G384" s="475"/>
      <c r="H384" s="474"/>
      <c r="I384" s="473" t="s">
        <v>176</v>
      </c>
      <c r="J384" s="472"/>
      <c r="K384" s="464"/>
    </row>
    <row r="385" spans="1:11" ht="64.5" thickBot="1" x14ac:dyDescent="0.3">
      <c r="A385" s="471"/>
      <c r="B385" s="469" t="s">
        <v>372</v>
      </c>
      <c r="C385" s="468" t="s">
        <v>375</v>
      </c>
      <c r="D385" s="467" t="s">
        <v>374</v>
      </c>
      <c r="E385" s="470" t="s">
        <v>373</v>
      </c>
      <c r="F385" s="469" t="s">
        <v>372</v>
      </c>
      <c r="G385" s="468" t="s">
        <v>371</v>
      </c>
      <c r="H385" s="467" t="s">
        <v>370</v>
      </c>
      <c r="I385" s="466"/>
      <c r="J385" s="465"/>
      <c r="K385" s="464"/>
    </row>
    <row r="386" spans="1:11" ht="26.25" thickBot="1" x14ac:dyDescent="0.3">
      <c r="A386" s="427" t="s">
        <v>369</v>
      </c>
      <c r="B386" s="450">
        <f>'[1]Nota II.1.16a'!B62</f>
        <v>5603148191.8599997</v>
      </c>
      <c r="C386" s="450">
        <f>'[1]Nota II.1.16a'!C62</f>
        <v>0</v>
      </c>
      <c r="D386" s="450">
        <f>'[1]Nota II.1.16a'!D62</f>
        <v>0</v>
      </c>
      <c r="E386" s="450">
        <f>'[1]Nota II.1.16a'!E62</f>
        <v>67137432.420000002</v>
      </c>
      <c r="F386" s="450">
        <f>'[1]Nota II.1.16a'!F62</f>
        <v>0</v>
      </c>
      <c r="G386" s="450">
        <f>'[1]Nota II.1.16a'!G62</f>
        <v>0</v>
      </c>
      <c r="H386" s="450">
        <f>'[1]Nota II.1.16a'!H62</f>
        <v>0</v>
      </c>
      <c r="I386" s="447">
        <f>SUM(B386:H386)</f>
        <v>5670285624.2799997</v>
      </c>
      <c r="J386" s="446"/>
      <c r="K386" s="424"/>
    </row>
    <row r="387" spans="1:11" ht="13.5" thickBot="1" x14ac:dyDescent="0.3">
      <c r="A387" s="452" t="s">
        <v>359</v>
      </c>
      <c r="B387" s="462">
        <f>SUM(B388:B390)</f>
        <v>693995500</v>
      </c>
      <c r="C387" s="461">
        <f>SUM(C388:C390)</f>
        <v>0</v>
      </c>
      <c r="D387" s="463">
        <f>SUM(D388:D390)</f>
        <v>0</v>
      </c>
      <c r="E387" s="452">
        <f>SUM(E388:E390)</f>
        <v>0</v>
      </c>
      <c r="F387" s="462">
        <f>SUM(F388:F390)</f>
        <v>0</v>
      </c>
      <c r="G387" s="461">
        <f>SUM(G388:G390)</f>
        <v>0</v>
      </c>
      <c r="H387" s="460">
        <f>SUM(H388:H390)</f>
        <v>0</v>
      </c>
      <c r="I387" s="452">
        <f>SUM(I388:I390)</f>
        <v>693995500</v>
      </c>
      <c r="J387" s="459"/>
      <c r="K387" s="459"/>
    </row>
    <row r="388" spans="1:11" x14ac:dyDescent="0.25">
      <c r="A388" s="458" t="s">
        <v>368</v>
      </c>
      <c r="B388" s="442">
        <f>'[1]Nota II.1.16a'!B64</f>
        <v>693995500</v>
      </c>
      <c r="C388" s="445">
        <f>'[1]Nota II.1.16a'!C64</f>
        <v>0</v>
      </c>
      <c r="D388" s="453">
        <f>'[1]Nota II.1.16a'!D64</f>
        <v>0</v>
      </c>
      <c r="E388" s="455">
        <f>'[1]Nota II.1.16a'!E64</f>
        <v>0</v>
      </c>
      <c r="F388" s="442">
        <f>'[1]Nota II.1.16a'!F64</f>
        <v>0</v>
      </c>
      <c r="G388" s="454">
        <f>'[1]Nota II.1.16a'!G64</f>
        <v>0</v>
      </c>
      <c r="H388" s="453">
        <f>'[1]Nota II.1.16a'!H64</f>
        <v>0</v>
      </c>
      <c r="I388" s="436">
        <f>SUM(B388:H388)</f>
        <v>693995500</v>
      </c>
      <c r="J388" s="429"/>
      <c r="K388" s="428"/>
    </row>
    <row r="389" spans="1:11" x14ac:dyDescent="0.25">
      <c r="A389" s="457" t="s">
        <v>367</v>
      </c>
      <c r="B389" s="442">
        <f>'[1]Nota II.1.16a'!B65</f>
        <v>0</v>
      </c>
      <c r="C389" s="438">
        <f>'[1]Nota II.1.16a'!C65</f>
        <v>0</v>
      </c>
      <c r="D389" s="453">
        <f>'[1]Nota II.1.16a'!D65</f>
        <v>0</v>
      </c>
      <c r="E389" s="455">
        <f>'[1]Nota II.1.16a'!E65</f>
        <v>0</v>
      </c>
      <c r="F389" s="442">
        <f>'[1]Nota II.1.16a'!F65</f>
        <v>0</v>
      </c>
      <c r="G389" s="454">
        <f>'[1]Nota II.1.16a'!G65</f>
        <v>0</v>
      </c>
      <c r="H389" s="453">
        <f>'[1]Nota II.1.16a'!H65</f>
        <v>0</v>
      </c>
      <c r="I389" s="436">
        <f>SUM(B389:H389)</f>
        <v>0</v>
      </c>
      <c r="J389" s="429"/>
      <c r="K389" s="428"/>
    </row>
    <row r="390" spans="1:11" ht="13.5" thickBot="1" x14ac:dyDescent="0.3">
      <c r="A390" s="456" t="s">
        <v>366</v>
      </c>
      <c r="B390" s="442">
        <f>'[1]Nota II.1.16a'!B66</f>
        <v>0</v>
      </c>
      <c r="C390" s="441">
        <f>'[1]Nota II.1.16a'!C66</f>
        <v>0</v>
      </c>
      <c r="D390" s="453">
        <f>'[1]Nota II.1.16a'!D66</f>
        <v>0</v>
      </c>
      <c r="E390" s="455">
        <f>'[1]Nota II.1.16a'!E66</f>
        <v>0</v>
      </c>
      <c r="F390" s="442">
        <f>'[1]Nota II.1.16a'!F66</f>
        <v>0</v>
      </c>
      <c r="G390" s="454">
        <f>'[1]Nota II.1.16a'!G66</f>
        <v>0</v>
      </c>
      <c r="H390" s="453">
        <f>'[1]Nota II.1.16a'!H66</f>
        <v>0</v>
      </c>
      <c r="I390" s="436">
        <f>SUM(B390:H390)</f>
        <v>0</v>
      </c>
      <c r="J390" s="429"/>
      <c r="K390" s="428"/>
    </row>
    <row r="391" spans="1:11" ht="13.5" thickBot="1" x14ac:dyDescent="0.3">
      <c r="A391" s="452" t="s">
        <v>358</v>
      </c>
      <c r="B391" s="450">
        <f>SUM(B392:B395)</f>
        <v>172941000</v>
      </c>
      <c r="C391" s="449">
        <f>SUM(C392:C395)</f>
        <v>0</v>
      </c>
      <c r="D391" s="451">
        <f>SUM(D392:D395)</f>
        <v>0</v>
      </c>
      <c r="E391" s="447">
        <f>SUM(E392:E395)</f>
        <v>0</v>
      </c>
      <c r="F391" s="450">
        <f>SUM(F392:F395)</f>
        <v>0</v>
      </c>
      <c r="G391" s="449">
        <f>SUM(G392:G395)</f>
        <v>0</v>
      </c>
      <c r="H391" s="448">
        <f>SUM(H392:H395)</f>
        <v>0</v>
      </c>
      <c r="I391" s="447">
        <f>SUM(I392:I395)</f>
        <v>172941000</v>
      </c>
      <c r="J391" s="446"/>
      <c r="K391" s="446"/>
    </row>
    <row r="392" spans="1:11" x14ac:dyDescent="0.25">
      <c r="A392" s="444" t="s">
        <v>365</v>
      </c>
      <c r="B392" s="442">
        <f>'[1]Nota II.1.16a'!B70</f>
        <v>172941000</v>
      </c>
      <c r="C392" s="445">
        <f>'[1]Nota II.1.16a'!C70</f>
        <v>0</v>
      </c>
      <c r="D392" s="437">
        <f>'[1]Nota II.1.16a'!D70</f>
        <v>0</v>
      </c>
      <c r="E392" s="440">
        <f>'[1]Nota II.1.16a'!E70</f>
        <v>0</v>
      </c>
      <c r="F392" s="439">
        <f>'[1]Nota II.1.16a'!F70</f>
        <v>0</v>
      </c>
      <c r="G392" s="438">
        <f>'[1]Nota II.1.16a'!G70</f>
        <v>0</v>
      </c>
      <c r="H392" s="437">
        <f>'[1]Nota II.1.16a'!H70</f>
        <v>0</v>
      </c>
      <c r="I392" s="436">
        <f>SUM(B392:H392)</f>
        <v>172941000</v>
      </c>
      <c r="J392" s="429"/>
      <c r="K392" s="428"/>
    </row>
    <row r="393" spans="1:11" ht="13.5" customHeight="1" x14ac:dyDescent="0.25">
      <c r="A393" s="444" t="s">
        <v>364</v>
      </c>
      <c r="B393" s="442">
        <f>'[1]Nota II.1.16a'!B71</f>
        <v>0</v>
      </c>
      <c r="C393" s="438">
        <f>'[1]Nota II.1.16a'!C71</f>
        <v>0</v>
      </c>
      <c r="D393" s="437">
        <f>'[1]Nota II.1.16a'!D71</f>
        <v>0</v>
      </c>
      <c r="E393" s="440">
        <f>'[1]Nota II.1.16a'!E71</f>
        <v>0</v>
      </c>
      <c r="F393" s="439">
        <f>'[1]Nota II.1.16a'!F71</f>
        <v>0</v>
      </c>
      <c r="G393" s="438">
        <f>'[1]Nota II.1.16a'!G71</f>
        <v>0</v>
      </c>
      <c r="H393" s="437">
        <f>'[1]Nota II.1.16a'!H71</f>
        <v>0</v>
      </c>
      <c r="I393" s="436">
        <f>SUM(B393:H393)</f>
        <v>0</v>
      </c>
      <c r="J393" s="429"/>
      <c r="K393" s="428"/>
    </row>
    <row r="394" spans="1:11" x14ac:dyDescent="0.25">
      <c r="A394" s="444" t="s">
        <v>363</v>
      </c>
      <c r="B394" s="442">
        <f>'[1]Nota II.1.16a'!B72</f>
        <v>0</v>
      </c>
      <c r="C394" s="438">
        <f>'[1]Nota II.1.16a'!C72</f>
        <v>0</v>
      </c>
      <c r="D394" s="437">
        <f>'[1]Nota II.1.16a'!D72</f>
        <v>0</v>
      </c>
      <c r="E394" s="440">
        <f>'[1]Nota II.1.16a'!E72</f>
        <v>0</v>
      </c>
      <c r="F394" s="439">
        <f>'[1]Nota II.1.16a'!F72</f>
        <v>0</v>
      </c>
      <c r="G394" s="438">
        <f>'[1]Nota II.1.16a'!G72</f>
        <v>0</v>
      </c>
      <c r="H394" s="437">
        <f>'[1]Nota II.1.16a'!H72</f>
        <v>0</v>
      </c>
      <c r="I394" s="436">
        <f>SUM(B394:H394)</f>
        <v>0</v>
      </c>
      <c r="J394" s="429"/>
      <c r="K394" s="428"/>
    </row>
    <row r="395" spans="1:11" ht="13.5" thickBot="1" x14ac:dyDescent="0.3">
      <c r="A395" s="443" t="s">
        <v>362</v>
      </c>
      <c r="B395" s="442">
        <f>'[1]Nota II.1.16a'!B73</f>
        <v>0</v>
      </c>
      <c r="C395" s="441">
        <f>'[1]Nota II.1.16a'!C73</f>
        <v>0</v>
      </c>
      <c r="D395" s="437">
        <f>'[1]Nota II.1.16a'!D73</f>
        <v>0</v>
      </c>
      <c r="E395" s="440">
        <f>'[1]Nota II.1.16a'!E73</f>
        <v>0</v>
      </c>
      <c r="F395" s="439">
        <f>'[1]Nota II.1.16a'!F73</f>
        <v>0</v>
      </c>
      <c r="G395" s="438">
        <f>'[1]Nota II.1.16a'!G73</f>
        <v>0</v>
      </c>
      <c r="H395" s="437">
        <f>'[1]Nota II.1.16a'!H73</f>
        <v>0</v>
      </c>
      <c r="I395" s="436">
        <f>SUM(B395:H395)</f>
        <v>0</v>
      </c>
      <c r="J395" s="429"/>
      <c r="K395" s="428"/>
    </row>
    <row r="396" spans="1:11" ht="26.25" thickBot="1" x14ac:dyDescent="0.3">
      <c r="A396" s="435" t="s">
        <v>361</v>
      </c>
      <c r="B396" s="433">
        <f>B386+B387-B391</f>
        <v>6124202691.8599997</v>
      </c>
      <c r="C396" s="432">
        <f>C386+C387-C391</f>
        <v>0</v>
      </c>
      <c r="D396" s="434">
        <f>D386+D387-D391</f>
        <v>0</v>
      </c>
      <c r="E396" s="430">
        <f>E386+E387-E391</f>
        <v>67137432.420000002</v>
      </c>
      <c r="F396" s="433">
        <f>F386+F387-F391</f>
        <v>0</v>
      </c>
      <c r="G396" s="432">
        <f>G386+G387-G391</f>
        <v>0</v>
      </c>
      <c r="H396" s="431">
        <f>H386+H387-H391</f>
        <v>0</v>
      </c>
      <c r="I396" s="430">
        <f>I386+I387-I391</f>
        <v>6191340124.2799997</v>
      </c>
      <c r="J396" s="429"/>
      <c r="K396" s="428"/>
    </row>
    <row r="397" spans="1:11" ht="39" customHeight="1" thickBot="1" x14ac:dyDescent="0.3">
      <c r="A397" s="427" t="s">
        <v>360</v>
      </c>
      <c r="B397" s="426">
        <f>'[1]Nota II.1.16a'!B76</f>
        <v>46003178.729999997</v>
      </c>
      <c r="C397" s="413">
        <f>'[1]Nota II.1.16a'!C76</f>
        <v>0</v>
      </c>
      <c r="D397" s="425">
        <f>'[1]Nota II.1.16a'!D76</f>
        <v>0</v>
      </c>
      <c r="E397" s="426">
        <f>'[1]Nota II.1.16a'!E76</f>
        <v>48721994.420000002</v>
      </c>
      <c r="F397" s="426">
        <f>'[1]Nota II.1.16a'!F76</f>
        <v>0</v>
      </c>
      <c r="G397" s="413">
        <f>'[1]Nota II.1.16a'!G76</f>
        <v>0</v>
      </c>
      <c r="H397" s="425">
        <f>'[1]Nota II.1.16a'!H76</f>
        <v>0</v>
      </c>
      <c r="I397" s="411">
        <f>SUM(B397:H397)</f>
        <v>94725173.150000006</v>
      </c>
      <c r="J397" s="424"/>
      <c r="K397" s="424"/>
    </row>
    <row r="398" spans="1:11" x14ac:dyDescent="0.25">
      <c r="A398" s="423" t="s">
        <v>359</v>
      </c>
      <c r="B398" s="422">
        <f>'[1]Nota II.1.16a'!B77</f>
        <v>21511202.91</v>
      </c>
      <c r="C398" s="422">
        <f>'[1]Nota II.1.16a'!C77</f>
        <v>0</v>
      </c>
      <c r="D398" s="422">
        <f>'[1]Nota II.1.16a'!D77</f>
        <v>0</v>
      </c>
      <c r="E398" s="422">
        <f>'[1]Nota II.1.16a'!E77</f>
        <v>2959968.37</v>
      </c>
      <c r="F398" s="422">
        <f>'[1]Nota II.1.16a'!F77</f>
        <v>0</v>
      </c>
      <c r="G398" s="422">
        <f>'[1]Nota II.1.16a'!G77</f>
        <v>0</v>
      </c>
      <c r="H398" s="421">
        <f>'[1]Nota II.1.16a'!H77</f>
        <v>0</v>
      </c>
      <c r="I398" s="420">
        <f>SUM(B398:H398)</f>
        <v>24471171.280000001</v>
      </c>
    </row>
    <row r="399" spans="1:11" ht="13.5" thickBot="1" x14ac:dyDescent="0.3">
      <c r="A399" s="419" t="s">
        <v>358</v>
      </c>
      <c r="B399" s="418">
        <f>'[1]Nota II.1.16a'!B78</f>
        <v>12280719.560000001</v>
      </c>
      <c r="C399" s="418">
        <f>'[1]Nota II.1.16a'!C78</f>
        <v>0</v>
      </c>
      <c r="D399" s="418">
        <f>'[1]Nota II.1.16a'!D78</f>
        <v>0</v>
      </c>
      <c r="E399" s="418">
        <f>'[1]Nota II.1.16a'!E78</f>
        <v>0</v>
      </c>
      <c r="F399" s="418">
        <f>'[1]Nota II.1.16a'!F78</f>
        <v>0</v>
      </c>
      <c r="G399" s="418">
        <f>'[1]Nota II.1.16a'!G78</f>
        <v>0</v>
      </c>
      <c r="H399" s="417">
        <f>'[1]Nota II.1.16a'!H78</f>
        <v>0</v>
      </c>
      <c r="I399" s="416">
        <f>SUM(B399:H399)</f>
        <v>12280719.560000001</v>
      </c>
    </row>
    <row r="400" spans="1:11" ht="39" thickBot="1" x14ac:dyDescent="0.3">
      <c r="A400" s="415" t="s">
        <v>357</v>
      </c>
      <c r="B400" s="414">
        <f>B397+B398-B399</f>
        <v>55233662.079999998</v>
      </c>
      <c r="C400" s="413">
        <f>C397+C398-C399</f>
        <v>0</v>
      </c>
      <c r="D400" s="412">
        <f>D397+D398-D399</f>
        <v>0</v>
      </c>
      <c r="E400" s="411">
        <f>E397+E398-E399</f>
        <v>51681962.789999999</v>
      </c>
      <c r="F400" s="414">
        <f>F397+F398-F399</f>
        <v>0</v>
      </c>
      <c r="G400" s="413">
        <f>G397+G398-G399</f>
        <v>0</v>
      </c>
      <c r="H400" s="412">
        <f>H397+H398-H399</f>
        <v>0</v>
      </c>
      <c r="I400" s="411">
        <f>I397+I398-I399</f>
        <v>106915624.87</v>
      </c>
    </row>
    <row r="401" spans="1:9" ht="26.25" thickBot="1" x14ac:dyDescent="0.3">
      <c r="A401" s="410" t="s">
        <v>356</v>
      </c>
      <c r="B401" s="408">
        <f>B386-B397</f>
        <v>5557145013.1300001</v>
      </c>
      <c r="C401" s="407">
        <f>C386-C397</f>
        <v>0</v>
      </c>
      <c r="D401" s="406">
        <f>D386-D397</f>
        <v>0</v>
      </c>
      <c r="E401" s="381">
        <f>E386-E397</f>
        <v>18415438</v>
      </c>
      <c r="F401" s="408">
        <f>F386-F397</f>
        <v>0</v>
      </c>
      <c r="G401" s="407">
        <f>G386-G397</f>
        <v>0</v>
      </c>
      <c r="H401" s="406">
        <f>H386-H397</f>
        <v>0</v>
      </c>
      <c r="I401" s="381">
        <f>I386-I397</f>
        <v>5575560451.1300001</v>
      </c>
    </row>
    <row r="402" spans="1:9" ht="25.15" customHeight="1" thickBot="1" x14ac:dyDescent="0.3">
      <c r="A402" s="409" t="s">
        <v>355</v>
      </c>
      <c r="B402" s="408">
        <f>B396-B400</f>
        <v>6068969029.7799997</v>
      </c>
      <c r="C402" s="407">
        <f>C396-C400</f>
        <v>0</v>
      </c>
      <c r="D402" s="406">
        <f>D396-D400</f>
        <v>0</v>
      </c>
      <c r="E402" s="381">
        <f>E396-E400</f>
        <v>15455469.630000003</v>
      </c>
      <c r="F402" s="408">
        <f>F396-F400</f>
        <v>0</v>
      </c>
      <c r="G402" s="407">
        <f>G396-G400</f>
        <v>0</v>
      </c>
      <c r="H402" s="406">
        <f>H396-H400</f>
        <v>0</v>
      </c>
      <c r="I402" s="381">
        <f>I396-I400</f>
        <v>6084424499.4099998</v>
      </c>
    </row>
    <row r="403" spans="1:9" x14ac:dyDescent="0.25">
      <c r="A403" s="186"/>
      <c r="B403" s="404"/>
      <c r="C403" s="404"/>
      <c r="E403" s="112"/>
      <c r="F403" s="112"/>
      <c r="G403" s="112"/>
      <c r="H403" s="112"/>
      <c r="I403" s="112"/>
    </row>
    <row r="404" spans="1:9" x14ac:dyDescent="0.25">
      <c r="A404" s="186"/>
      <c r="B404" s="404"/>
      <c r="C404" s="404"/>
      <c r="E404" s="112"/>
      <c r="F404" s="112"/>
      <c r="G404" s="112"/>
      <c r="H404" s="112"/>
      <c r="I404" s="112"/>
    </row>
    <row r="405" spans="1:9" x14ac:dyDescent="0.25">
      <c r="A405" s="186"/>
      <c r="B405" s="404"/>
      <c r="C405" s="404"/>
      <c r="E405" s="112"/>
      <c r="F405" s="112"/>
      <c r="G405" s="112"/>
      <c r="H405" s="112"/>
      <c r="I405" s="112"/>
    </row>
    <row r="406" spans="1:9" x14ac:dyDescent="0.25">
      <c r="A406" s="125" t="s">
        <v>354</v>
      </c>
      <c r="B406" s="405"/>
      <c r="C406" s="405"/>
      <c r="E406" s="112"/>
      <c r="F406" s="112"/>
      <c r="G406" s="112"/>
      <c r="H406" s="112"/>
      <c r="I406" s="112"/>
    </row>
    <row r="407" spans="1:9" ht="13.5" thickBot="1" x14ac:dyDescent="0.3">
      <c r="A407" s="186"/>
      <c r="B407" s="404"/>
      <c r="C407" s="404"/>
      <c r="E407" s="112"/>
      <c r="F407" s="112"/>
      <c r="G407" s="112"/>
      <c r="H407" s="112"/>
      <c r="I407" s="112"/>
    </row>
    <row r="408" spans="1:9" ht="13.5" thickBot="1" x14ac:dyDescent="0.3">
      <c r="A408" s="403"/>
      <c r="B408" s="402"/>
      <c r="C408" s="207" t="s">
        <v>7</v>
      </c>
      <c r="D408" s="401" t="s">
        <v>206</v>
      </c>
    </row>
    <row r="409" spans="1:9" ht="13.5" thickBot="1" x14ac:dyDescent="0.3">
      <c r="A409" s="400" t="s">
        <v>353</v>
      </c>
      <c r="B409" s="399"/>
      <c r="C409" s="395">
        <f>'[1]Nota II.1.16b'!B63</f>
        <v>6267281.1900000004</v>
      </c>
      <c r="D409" s="395">
        <f>'[1]Nota II.1.16b'!C63</f>
        <v>6486580.5300000003</v>
      </c>
      <c r="E409" s="379"/>
      <c r="F409" s="379"/>
      <c r="G409" s="379"/>
      <c r="H409" s="379"/>
      <c r="I409" s="379"/>
    </row>
    <row r="410" spans="1:9" ht="13.5" thickBot="1" x14ac:dyDescent="0.3">
      <c r="A410" s="397" t="s">
        <v>352</v>
      </c>
      <c r="B410" s="396"/>
      <c r="C410" s="395">
        <f>'[1]Nota II.1.16b'!B64</f>
        <v>29345836.539999999</v>
      </c>
      <c r="D410" s="395">
        <f>'[1]Nota II.1.16b'!C64</f>
        <v>62483697.159999996</v>
      </c>
      <c r="E410" s="398"/>
      <c r="F410" s="398"/>
      <c r="G410" s="398"/>
      <c r="H410" s="398"/>
      <c r="I410" s="398"/>
    </row>
    <row r="411" spans="1:9" x14ac:dyDescent="0.25">
      <c r="A411" s="397" t="s">
        <v>351</v>
      </c>
      <c r="B411" s="396"/>
      <c r="C411" s="395">
        <f>'[1]Nota II.1.16b'!B65</f>
        <v>129.99</v>
      </c>
      <c r="D411" s="395">
        <f>'[1]Nota II.1.16b'!C65</f>
        <v>202.27</v>
      </c>
      <c r="E411" s="394"/>
      <c r="F411" s="394"/>
      <c r="G411" s="394"/>
      <c r="H411" s="394"/>
      <c r="I411" s="394"/>
    </row>
    <row r="412" spans="1:9" x14ac:dyDescent="0.25">
      <c r="A412" s="393" t="s">
        <v>350</v>
      </c>
      <c r="B412" s="392"/>
      <c r="C412" s="391">
        <f>C413+C416+C417+C418+C419</f>
        <v>245728217.93000001</v>
      </c>
      <c r="D412" s="391">
        <f>D413+D416+D417+D418+D419</f>
        <v>350592112.39999998</v>
      </c>
    </row>
    <row r="413" spans="1:9" x14ac:dyDescent="0.25">
      <c r="A413" s="268" t="s">
        <v>349</v>
      </c>
      <c r="B413" s="267"/>
      <c r="C413" s="387">
        <f>C414-C415</f>
        <v>4737217.4600000083</v>
      </c>
      <c r="D413" s="387">
        <f>D414-D415</f>
        <v>4603036.1599999666</v>
      </c>
    </row>
    <row r="414" spans="1:9" x14ac:dyDescent="0.25">
      <c r="A414" s="390" t="s">
        <v>348</v>
      </c>
      <c r="B414" s="389"/>
      <c r="C414" s="388">
        <f>'[1]Nota II.1.16b'!B68</f>
        <v>224057273.36000001</v>
      </c>
      <c r="D414" s="388">
        <f>'[1]Nota II.1.16b'!C68</f>
        <v>609039321.52999997</v>
      </c>
    </row>
    <row r="415" spans="1:9" ht="25.5" customHeight="1" x14ac:dyDescent="0.25">
      <c r="A415" s="390" t="s">
        <v>347</v>
      </c>
      <c r="B415" s="389"/>
      <c r="C415" s="388">
        <f>'[1]Nota II.1.16b'!B69</f>
        <v>219320055.90000001</v>
      </c>
      <c r="D415" s="388">
        <f>'[1]Nota II.1.16b'!C69</f>
        <v>604436285.37</v>
      </c>
    </row>
    <row r="416" spans="1:9" x14ac:dyDescent="0.25">
      <c r="A416" s="266" t="s">
        <v>346</v>
      </c>
      <c r="B416" s="265"/>
      <c r="C416" s="387">
        <f>'[1]Nota II.1.16b'!B70</f>
        <v>6688000.21</v>
      </c>
      <c r="D416" s="387">
        <f>'[1]Nota II.1.16b'!C70</f>
        <v>6875635.2199999997</v>
      </c>
    </row>
    <row r="417" spans="1:6" x14ac:dyDescent="0.25">
      <c r="A417" s="266" t="s">
        <v>345</v>
      </c>
      <c r="B417" s="265"/>
      <c r="C417" s="387">
        <f>'[1]Nota II.1.16b'!B71</f>
        <v>190271766.21000001</v>
      </c>
      <c r="D417" s="387">
        <f>'[1]Nota II.1.16b'!C71</f>
        <v>241006511.17000002</v>
      </c>
    </row>
    <row r="418" spans="1:6" x14ac:dyDescent="0.25">
      <c r="A418" s="266" t="s">
        <v>344</v>
      </c>
      <c r="B418" s="265"/>
      <c r="C418" s="387">
        <f>'[1]Nota II.1.16b'!B72</f>
        <v>22270</v>
      </c>
      <c r="D418" s="387">
        <f>'[1]Nota II.1.16b'!C72</f>
        <v>22270</v>
      </c>
    </row>
    <row r="419" spans="1:6" x14ac:dyDescent="0.25">
      <c r="A419" s="266" t="s">
        <v>302</v>
      </c>
      <c r="B419" s="265"/>
      <c r="C419" s="387">
        <f>'[1]Nota II.1.16b'!B73</f>
        <v>44008964.049999982</v>
      </c>
      <c r="D419" s="387">
        <f>'[1]Nota II.1.16b'!C73</f>
        <v>98084659.850000009</v>
      </c>
    </row>
    <row r="420" spans="1:6" ht="24.75" customHeight="1" thickBot="1" x14ac:dyDescent="0.3">
      <c r="A420" s="386" t="s">
        <v>343</v>
      </c>
      <c r="B420" s="385"/>
      <c r="C420" s="384">
        <f>'[1]Nota II.1.16b'!B74</f>
        <v>257.17</v>
      </c>
      <c r="D420" s="384">
        <f>'[1]Nota II.1.16b'!C74</f>
        <v>0</v>
      </c>
    </row>
    <row r="421" spans="1:6" ht="13.5" thickBot="1" x14ac:dyDescent="0.3">
      <c r="A421" s="383" t="s">
        <v>176</v>
      </c>
      <c r="B421" s="382"/>
      <c r="C421" s="381">
        <f>SUM(C409+C410+C411+C412+C420)</f>
        <v>281341722.81999999</v>
      </c>
      <c r="D421" s="381">
        <f>SUM(D409+D410+D411+D412+D420)</f>
        <v>419562592.35999995</v>
      </c>
    </row>
    <row r="424" spans="1:6" x14ac:dyDescent="0.2">
      <c r="A424" s="361"/>
      <c r="B424" s="371"/>
      <c r="C424" s="371"/>
      <c r="D424" s="380"/>
      <c r="E424" s="380"/>
      <c r="F424" s="362"/>
    </row>
    <row r="425" spans="1:6" x14ac:dyDescent="0.25">
      <c r="A425" s="379"/>
      <c r="B425" s="379"/>
      <c r="C425" s="379"/>
      <c r="D425" s="379"/>
      <c r="E425" s="362"/>
      <c r="F425" s="362"/>
    </row>
    <row r="426" spans="1:6" x14ac:dyDescent="0.25">
      <c r="A426" s="379"/>
      <c r="B426" s="379"/>
      <c r="C426" s="379"/>
      <c r="D426" s="379"/>
      <c r="E426" s="362"/>
      <c r="F426" s="362"/>
    </row>
    <row r="427" spans="1:6" x14ac:dyDescent="0.25">
      <c r="A427" s="379"/>
      <c r="B427" s="379"/>
      <c r="C427" s="379"/>
      <c r="D427" s="379"/>
      <c r="E427" s="362"/>
      <c r="F427" s="362"/>
    </row>
    <row r="428" spans="1:6" x14ac:dyDescent="0.25">
      <c r="A428" s="379"/>
      <c r="B428" s="379"/>
      <c r="C428" s="379"/>
      <c r="D428" s="379"/>
      <c r="E428" s="362"/>
      <c r="F428" s="362"/>
    </row>
    <row r="429" spans="1:6" ht="33.75" customHeight="1" x14ac:dyDescent="0.2">
      <c r="A429" s="376"/>
      <c r="B429" s="378"/>
      <c r="C429" s="378"/>
      <c r="D429" s="378"/>
      <c r="E429" s="378"/>
      <c r="F429" s="362"/>
    </row>
    <row r="430" spans="1:6" x14ac:dyDescent="0.2">
      <c r="A430" s="376"/>
      <c r="B430" s="376"/>
      <c r="C430" s="377"/>
      <c r="D430" s="377"/>
      <c r="E430" s="377"/>
      <c r="F430" s="362"/>
    </row>
    <row r="431" spans="1:6" x14ac:dyDescent="0.2">
      <c r="A431" s="376"/>
      <c r="B431" s="376"/>
      <c r="C431" s="376"/>
      <c r="D431" s="376"/>
      <c r="E431" s="376"/>
      <c r="F431" s="362"/>
    </row>
    <row r="432" spans="1:6" x14ac:dyDescent="0.2">
      <c r="A432" s="375"/>
      <c r="B432" s="374"/>
      <c r="C432" s="374"/>
      <c r="D432" s="374"/>
      <c r="E432" s="374"/>
      <c r="F432" s="362"/>
    </row>
    <row r="433" spans="1:6" x14ac:dyDescent="0.25">
      <c r="A433" s="373"/>
      <c r="B433" s="372"/>
      <c r="C433" s="372"/>
      <c r="D433" s="372"/>
      <c r="E433" s="372"/>
      <c r="F433" s="362"/>
    </row>
    <row r="434" spans="1:6" x14ac:dyDescent="0.25">
      <c r="A434" s="362"/>
      <c r="B434" s="362"/>
      <c r="C434" s="362"/>
      <c r="D434" s="362"/>
      <c r="E434" s="362"/>
      <c r="F434" s="362"/>
    </row>
    <row r="435" spans="1:6" x14ac:dyDescent="0.25">
      <c r="A435" s="362"/>
      <c r="B435" s="362"/>
      <c r="C435" s="362"/>
      <c r="D435" s="362"/>
      <c r="E435" s="362"/>
      <c r="F435" s="362"/>
    </row>
    <row r="436" spans="1:6" x14ac:dyDescent="0.25">
      <c r="A436" s="361"/>
      <c r="B436" s="371"/>
      <c r="C436" s="371"/>
      <c r="D436" s="370"/>
      <c r="E436" s="370"/>
      <c r="F436" s="369"/>
    </row>
    <row r="437" spans="1:6" x14ac:dyDescent="0.2">
      <c r="A437" s="368"/>
      <c r="B437" s="368"/>
      <c r="C437" s="368"/>
      <c r="D437" s="362"/>
      <c r="E437" s="362"/>
      <c r="F437" s="362"/>
    </row>
    <row r="438" spans="1:6" x14ac:dyDescent="0.25">
      <c r="A438" s="367"/>
      <c r="B438" s="367"/>
      <c r="C438" s="366"/>
      <c r="D438" s="362"/>
      <c r="E438" s="362"/>
      <c r="F438" s="362"/>
    </row>
    <row r="439" spans="1:6" ht="18.600000000000001" customHeight="1" x14ac:dyDescent="0.25">
      <c r="A439" s="365"/>
      <c r="B439" s="365"/>
      <c r="C439" s="363"/>
      <c r="D439" s="362"/>
      <c r="E439" s="362"/>
      <c r="F439" s="362"/>
    </row>
    <row r="440" spans="1:6" ht="18.600000000000001" customHeight="1" x14ac:dyDescent="0.25">
      <c r="A440" s="364"/>
      <c r="B440" s="364"/>
      <c r="C440" s="363"/>
      <c r="D440" s="362"/>
      <c r="E440" s="362"/>
      <c r="F440" s="362"/>
    </row>
    <row r="441" spans="1:6" x14ac:dyDescent="0.25">
      <c r="A441" s="112" t="s">
        <v>342</v>
      </c>
      <c r="B441" s="112"/>
      <c r="C441" s="112"/>
      <c r="D441" s="112"/>
    </row>
    <row r="443" spans="1:6" x14ac:dyDescent="0.25">
      <c r="A443" s="102" t="s">
        <v>341</v>
      </c>
    </row>
    <row r="446" spans="1:6" x14ac:dyDescent="0.25">
      <c r="A446" s="361" t="s">
        <v>340</v>
      </c>
      <c r="B446" s="361"/>
      <c r="C446" s="361"/>
      <c r="D446" s="328"/>
    </row>
    <row r="447" spans="1:6" ht="14.25" customHeight="1" x14ac:dyDescent="0.25">
      <c r="A447" s="360" t="s">
        <v>339</v>
      </c>
      <c r="B447" s="360"/>
      <c r="C447" s="360"/>
    </row>
    <row r="448" spans="1:6" x14ac:dyDescent="0.25">
      <c r="A448" s="359"/>
      <c r="B448" s="358"/>
      <c r="C448" s="358"/>
    </row>
    <row r="449" spans="1:5" x14ac:dyDescent="0.25">
      <c r="A449" s="102" t="s">
        <v>338</v>
      </c>
    </row>
    <row r="452" spans="1:5" x14ac:dyDescent="0.25">
      <c r="A452" s="243" t="s">
        <v>337</v>
      </c>
      <c r="B452" s="243"/>
      <c r="C452" s="243"/>
    </row>
    <row r="453" spans="1:5" ht="13.5" thickBot="1" x14ac:dyDescent="0.3">
      <c r="A453" s="186"/>
      <c r="B453" s="186"/>
      <c r="C453" s="186"/>
    </row>
    <row r="454" spans="1:5" ht="26.25" thickBot="1" x14ac:dyDescent="0.3">
      <c r="A454" s="185"/>
      <c r="B454" s="184"/>
      <c r="C454" s="183"/>
      <c r="D454" s="357" t="s">
        <v>220</v>
      </c>
      <c r="E454" s="181" t="s">
        <v>219</v>
      </c>
    </row>
    <row r="455" spans="1:5" ht="15.75" customHeight="1" thickBot="1" x14ac:dyDescent="0.3">
      <c r="A455" s="172" t="s">
        <v>203</v>
      </c>
      <c r="B455" s="171"/>
      <c r="C455" s="170"/>
      <c r="D455" s="344">
        <f>D456+D457</f>
        <v>558838092.55000007</v>
      </c>
      <c r="E455" s="169">
        <f>E456+E457</f>
        <v>361115649.59999996</v>
      </c>
    </row>
    <row r="456" spans="1:5" x14ac:dyDescent="0.25">
      <c r="A456" s="356" t="s">
        <v>333</v>
      </c>
      <c r="B456" s="355"/>
      <c r="C456" s="354"/>
      <c r="D456" s="353">
        <f>'[1]Nota II.2.3.'!D153</f>
        <v>0</v>
      </c>
      <c r="E456" s="177">
        <f>'[1]Nota II.2.3.'!H153</f>
        <v>0</v>
      </c>
    </row>
    <row r="457" spans="1:5" x14ac:dyDescent="0.25">
      <c r="A457" s="339" t="s">
        <v>332</v>
      </c>
      <c r="B457" s="338"/>
      <c r="C457" s="337"/>
      <c r="D457" s="340">
        <f>SUM(D458:D460)</f>
        <v>558838092.55000007</v>
      </c>
      <c r="E457" s="159">
        <f>SUM(E458:E460)</f>
        <v>361115649.59999996</v>
      </c>
    </row>
    <row r="458" spans="1:5" ht="25.5" customHeight="1" x14ac:dyDescent="0.25">
      <c r="A458" s="352" t="s">
        <v>336</v>
      </c>
      <c r="B458" s="351"/>
      <c r="C458" s="350"/>
      <c r="D458" s="258">
        <f>'[1]Nota II.2.3.'!D161+'[1]Nota II.2.3.'!D163</f>
        <v>29872493.629999999</v>
      </c>
      <c r="E458" s="258">
        <f>'[1]Nota II.2.3.'!H163+'[1]Nota II.2.3.'!H161</f>
        <v>7805949.8700000001</v>
      </c>
    </row>
    <row r="459" spans="1:5" ht="27.75" customHeight="1" x14ac:dyDescent="0.25">
      <c r="A459" s="335" t="s">
        <v>335</v>
      </c>
      <c r="B459" s="334"/>
      <c r="C459" s="333"/>
      <c r="D459" s="340">
        <f>'[1]Nota II.2.3.'!D164</f>
        <v>528796818.44</v>
      </c>
      <c r="E459" s="258">
        <f>'[1]Nota II.2.3.'!H164</f>
        <v>352504561.51999998</v>
      </c>
    </row>
    <row r="460" spans="1:5" ht="15.75" customHeight="1" thickBot="1" x14ac:dyDescent="0.3">
      <c r="A460" s="349" t="s">
        <v>334</v>
      </c>
      <c r="B460" s="348"/>
      <c r="C460" s="347"/>
      <c r="D460" s="346">
        <f>'[1]Nota II.2.3.'!D165</f>
        <v>168780.48</v>
      </c>
      <c r="E460" s="345">
        <f>'[1]Nota II.2.3.'!H165</f>
        <v>805138.21</v>
      </c>
    </row>
    <row r="461" spans="1:5" ht="15.75" customHeight="1" thickBot="1" x14ac:dyDescent="0.3">
      <c r="A461" s="172" t="s">
        <v>202</v>
      </c>
      <c r="B461" s="171"/>
      <c r="C461" s="170"/>
      <c r="D461" s="344">
        <f>D462+D463</f>
        <v>279792869.18000001</v>
      </c>
      <c r="E461" s="169">
        <f>E462+E463</f>
        <v>155395057.38</v>
      </c>
    </row>
    <row r="462" spans="1:5" x14ac:dyDescent="0.25">
      <c r="A462" s="343" t="s">
        <v>333</v>
      </c>
      <c r="B462" s="342"/>
      <c r="C462" s="341"/>
      <c r="D462" s="340">
        <f>'[1]Nota II.2.3.'!D167</f>
        <v>0</v>
      </c>
      <c r="E462" s="159">
        <f>'[1]Nota II.2.3.'!H167</f>
        <v>0</v>
      </c>
    </row>
    <row r="463" spans="1:5" x14ac:dyDescent="0.25">
      <c r="A463" s="339" t="s">
        <v>332</v>
      </c>
      <c r="B463" s="338"/>
      <c r="C463" s="337"/>
      <c r="D463" s="336">
        <f>SUM(D464:D466)</f>
        <v>279792869.18000001</v>
      </c>
      <c r="E463" s="336">
        <f>SUM(E464:E466)</f>
        <v>155395057.38</v>
      </c>
    </row>
    <row r="464" spans="1:5" x14ac:dyDescent="0.25">
      <c r="A464" s="335" t="s">
        <v>331</v>
      </c>
      <c r="B464" s="334"/>
      <c r="C464" s="333"/>
      <c r="D464" s="332">
        <f>'[1]Nota II.2.3.'!D176</f>
        <v>263992886.02999997</v>
      </c>
      <c r="E464" s="331">
        <f>'[1]Nota II.2.3.'!H176</f>
        <v>135876104.63999999</v>
      </c>
    </row>
    <row r="465" spans="1:9" x14ac:dyDescent="0.25">
      <c r="A465" s="335" t="s">
        <v>330</v>
      </c>
      <c r="B465" s="334"/>
      <c r="C465" s="333"/>
      <c r="D465" s="332">
        <f>'[1]Nota II.2.3.'!D175</f>
        <v>15630312.540000001</v>
      </c>
      <c r="E465" s="331">
        <f>'[1]Nota II.2.3.'!H175</f>
        <v>18715197.719999999</v>
      </c>
    </row>
    <row r="466" spans="1:9" ht="15.75" customHeight="1" thickBot="1" x14ac:dyDescent="0.3">
      <c r="A466" s="162" t="s">
        <v>329</v>
      </c>
      <c r="B466" s="161"/>
      <c r="C466" s="160"/>
      <c r="D466" s="330">
        <f>'[1]Nota II.2.3.'!D177</f>
        <v>169670.61</v>
      </c>
      <c r="E466" s="329">
        <f>'[1]Nota II.2.3.'!H177</f>
        <v>803755.02</v>
      </c>
    </row>
    <row r="467" spans="1:9" x14ac:dyDescent="0.25">
      <c r="A467" s="243"/>
      <c r="B467" s="243"/>
      <c r="C467" s="243"/>
    </row>
    <row r="468" spans="1:9" x14ac:dyDescent="0.25">
      <c r="A468" s="243"/>
      <c r="B468" s="243"/>
      <c r="C468" s="243"/>
    </row>
    <row r="469" spans="1:9" ht="43.5" customHeight="1" x14ac:dyDescent="0.25">
      <c r="A469" s="125" t="s">
        <v>328</v>
      </c>
      <c r="B469" s="125"/>
      <c r="C469" s="125"/>
      <c r="D469" s="125"/>
      <c r="E469" s="328"/>
      <c r="F469" s="328"/>
      <c r="G469" s="328"/>
      <c r="H469" s="328"/>
      <c r="I469" s="328"/>
    </row>
    <row r="470" spans="1:9" x14ac:dyDescent="0.25">
      <c r="A470" s="327"/>
      <c r="B470" s="327"/>
      <c r="C470" s="327"/>
      <c r="D470" s="327"/>
      <c r="E470" s="115"/>
      <c r="F470" s="115"/>
      <c r="G470" s="115"/>
      <c r="H470" s="115"/>
      <c r="I470" s="115"/>
    </row>
    <row r="471" spans="1:9" x14ac:dyDescent="0.25">
      <c r="A471" s="326" t="s">
        <v>327</v>
      </c>
      <c r="B471" s="243"/>
      <c r="C471" s="243"/>
    </row>
    <row r="472" spans="1:9" x14ac:dyDescent="0.25">
      <c r="A472" s="243"/>
      <c r="B472" s="243"/>
      <c r="C472" s="243"/>
    </row>
    <row r="473" spans="1:9" x14ac:dyDescent="0.25">
      <c r="A473" s="243"/>
      <c r="B473" s="243"/>
      <c r="C473" s="243"/>
    </row>
    <row r="474" spans="1:9" x14ac:dyDescent="0.25">
      <c r="A474" s="243" t="s">
        <v>326</v>
      </c>
      <c r="B474" s="243"/>
      <c r="C474" s="243"/>
    </row>
    <row r="475" spans="1:9" x14ac:dyDescent="0.25">
      <c r="A475" s="187" t="s">
        <v>325</v>
      </c>
      <c r="B475" s="187"/>
      <c r="C475" s="187"/>
    </row>
    <row r="476" spans="1:9" ht="13.5" thickBot="1" x14ac:dyDescent="0.3">
      <c r="A476" s="243"/>
      <c r="B476" s="243"/>
      <c r="C476" s="243"/>
    </row>
    <row r="477" spans="1:9" ht="26.25" thickBot="1" x14ac:dyDescent="0.3">
      <c r="A477" s="185" t="s">
        <v>324</v>
      </c>
      <c r="B477" s="184"/>
      <c r="C477" s="184"/>
      <c r="D477" s="183"/>
      <c r="E477" s="182" t="s">
        <v>220</v>
      </c>
      <c r="F477" s="181" t="s">
        <v>219</v>
      </c>
      <c r="G477" s="325"/>
    </row>
    <row r="478" spans="1:9" ht="14.25" customHeight="1" thickBot="1" x14ac:dyDescent="0.3">
      <c r="A478" s="172" t="s">
        <v>323</v>
      </c>
      <c r="B478" s="171"/>
      <c r="C478" s="171"/>
      <c r="D478" s="170"/>
      <c r="E478" s="169">
        <f>SUM(E479:E486)</f>
        <v>385137446.31999999</v>
      </c>
      <c r="F478" s="169">
        <f>SUM(F479:F486)</f>
        <v>409046869.35000002</v>
      </c>
      <c r="G478" s="283"/>
      <c r="H478" s="283"/>
    </row>
    <row r="479" spans="1:9" x14ac:dyDescent="0.25">
      <c r="A479" s="314" t="s">
        <v>322</v>
      </c>
      <c r="B479" s="313"/>
      <c r="C479" s="313"/>
      <c r="D479" s="312"/>
      <c r="E479" s="159">
        <f>'[1]Nota II.2.5a'!C124</f>
        <v>102059969.78</v>
      </c>
      <c r="F479" s="159">
        <f>'[1]Nota II.2.5a'!D124</f>
        <v>116579776.05</v>
      </c>
      <c r="G479" s="287"/>
    </row>
    <row r="480" spans="1:9" x14ac:dyDescent="0.25">
      <c r="A480" s="306" t="s">
        <v>321</v>
      </c>
      <c r="B480" s="305"/>
      <c r="C480" s="305"/>
      <c r="D480" s="304"/>
      <c r="E480" s="159">
        <f>'[1]Nota II.2.5a'!C125</f>
        <v>247095867.56999999</v>
      </c>
      <c r="F480" s="159">
        <f>'[1]Nota II.2.5a'!D125</f>
        <v>250337338.49000001</v>
      </c>
      <c r="G480" s="287"/>
    </row>
    <row r="481" spans="1:8" x14ac:dyDescent="0.25">
      <c r="A481" s="306" t="s">
        <v>320</v>
      </c>
      <c r="B481" s="305"/>
      <c r="C481" s="305"/>
      <c r="D481" s="304"/>
      <c r="E481" s="159">
        <f>'[1]Nota II.2.5a'!C126</f>
        <v>18015262.57</v>
      </c>
      <c r="F481" s="159">
        <f>'[1]Nota II.2.5a'!D126</f>
        <v>22631088.600000001</v>
      </c>
      <c r="G481" s="287"/>
    </row>
    <row r="482" spans="1:8" hidden="1" x14ac:dyDescent="0.25">
      <c r="A482" s="324" t="s">
        <v>319</v>
      </c>
      <c r="B482" s="323"/>
      <c r="C482" s="323"/>
      <c r="D482" s="322"/>
      <c r="E482" s="159">
        <f>'[1]Nota II.2.5a'!C127</f>
        <v>0</v>
      </c>
      <c r="F482" s="159">
        <f>'[1]Nota II.2.5a'!D127</f>
        <v>0</v>
      </c>
      <c r="G482" s="287"/>
    </row>
    <row r="483" spans="1:8" x14ac:dyDescent="0.25">
      <c r="A483" s="306" t="s">
        <v>318</v>
      </c>
      <c r="B483" s="305"/>
      <c r="C483" s="305"/>
      <c r="D483" s="304"/>
      <c r="E483" s="159">
        <f>'[1]Nota II.2.5a'!C128</f>
        <v>8246039.7800000003</v>
      </c>
      <c r="F483" s="159">
        <f>'[1]Nota II.2.5a'!D128</f>
        <v>7367411.0999999996</v>
      </c>
      <c r="G483" s="287"/>
    </row>
    <row r="484" spans="1:8" hidden="1" x14ac:dyDescent="0.25">
      <c r="A484" s="310" t="s">
        <v>317</v>
      </c>
      <c r="B484" s="309"/>
      <c r="C484" s="309"/>
      <c r="D484" s="308"/>
      <c r="E484" s="159">
        <f>'[1]Nota II.2.5a'!C129</f>
        <v>0</v>
      </c>
      <c r="F484" s="159">
        <f>'[1]Nota II.2.5a'!D129</f>
        <v>0</v>
      </c>
      <c r="G484" s="287"/>
    </row>
    <row r="485" spans="1:8" x14ac:dyDescent="0.25">
      <c r="A485" s="310" t="s">
        <v>316</v>
      </c>
      <c r="B485" s="309"/>
      <c r="C485" s="309"/>
      <c r="D485" s="308"/>
      <c r="E485" s="159">
        <f>'[1]Nota II.2.5a'!C130</f>
        <v>2791554.98</v>
      </c>
      <c r="F485" s="159">
        <f>'[1]Nota II.2.5a'!D130</f>
        <v>3183782.65</v>
      </c>
      <c r="G485" s="287"/>
    </row>
    <row r="486" spans="1:8" ht="13.5" thickBot="1" x14ac:dyDescent="0.3">
      <c r="A486" s="321" t="s">
        <v>315</v>
      </c>
      <c r="B486" s="320"/>
      <c r="C486" s="320"/>
      <c r="D486" s="319"/>
      <c r="E486" s="159">
        <f>'[1]Nota II.2.5a'!C131</f>
        <v>6928751.6399999997</v>
      </c>
      <c r="F486" s="159">
        <f>'[1]Nota II.2.5a'!D131</f>
        <v>8947472.4600000009</v>
      </c>
      <c r="G486" s="287"/>
    </row>
    <row r="487" spans="1:8" ht="13.5" thickBot="1" x14ac:dyDescent="0.3">
      <c r="A487" s="172" t="s">
        <v>314</v>
      </c>
      <c r="B487" s="171"/>
      <c r="C487" s="171"/>
      <c r="D487" s="170"/>
      <c r="E487" s="239">
        <f>'[1]Nota II.2.5a'!C132</f>
        <v>176846.83</v>
      </c>
      <c r="F487" s="239">
        <f>'[1]Nota II.2.5a'!D132</f>
        <v>27303.040000000001</v>
      </c>
      <c r="G487" s="318"/>
      <c r="H487" s="318"/>
    </row>
    <row r="488" spans="1:8" ht="13.5" thickBot="1" x14ac:dyDescent="0.3">
      <c r="A488" s="242" t="s">
        <v>313</v>
      </c>
      <c r="B488" s="241"/>
      <c r="C488" s="241"/>
      <c r="D488" s="240"/>
      <c r="E488" s="239">
        <f>'[1]Nota II.2.5a'!C133</f>
        <v>0</v>
      </c>
      <c r="F488" s="239">
        <f>'[1]Nota II.2.5a'!D133</f>
        <v>0</v>
      </c>
      <c r="G488" s="318"/>
    </row>
    <row r="489" spans="1:8" ht="13.5" thickBot="1" x14ac:dyDescent="0.3">
      <c r="A489" s="242" t="s">
        <v>312</v>
      </c>
      <c r="B489" s="241"/>
      <c r="C489" s="241"/>
      <c r="D489" s="240"/>
      <c r="E489" s="239">
        <f>'[1]Nota II.2.5a'!C134</f>
        <v>168780.48</v>
      </c>
      <c r="F489" s="239">
        <f>'[1]Nota II.2.5a'!D134</f>
        <v>805138.21</v>
      </c>
      <c r="G489" s="318"/>
    </row>
    <row r="490" spans="1:8" ht="13.5" thickBot="1" x14ac:dyDescent="0.3">
      <c r="A490" s="317" t="s">
        <v>311</v>
      </c>
      <c r="B490" s="316"/>
      <c r="C490" s="316"/>
      <c r="D490" s="315"/>
      <c r="E490" s="239">
        <f>'[1]Nota II.2.5a'!C135</f>
        <v>0</v>
      </c>
      <c r="F490" s="239">
        <f>'[1]Nota II.2.5a'!D135</f>
        <v>0</v>
      </c>
      <c r="G490" s="318"/>
    </row>
    <row r="491" spans="1:8" ht="13.5" thickBot="1" x14ac:dyDescent="0.3">
      <c r="A491" s="317" t="s">
        <v>310</v>
      </c>
      <c r="B491" s="316"/>
      <c r="C491" s="316"/>
      <c r="D491" s="315"/>
      <c r="E491" s="169">
        <f>E492+E500+E503+E506</f>
        <v>18293051874.540001</v>
      </c>
      <c r="F491" s="169">
        <f>SUM(F492+F500+F503+F506)</f>
        <v>18071235818.380001</v>
      </c>
      <c r="G491" s="283"/>
      <c r="H491" s="283"/>
    </row>
    <row r="492" spans="1:8" x14ac:dyDescent="0.25">
      <c r="A492" s="314" t="s">
        <v>309</v>
      </c>
      <c r="B492" s="313"/>
      <c r="C492" s="313"/>
      <c r="D492" s="312"/>
      <c r="E492" s="311">
        <f>SUM(E493:E499)</f>
        <v>2550439702.0900002</v>
      </c>
      <c r="F492" s="311">
        <f>SUM(F493:F499)</f>
        <v>2782420794.8600001</v>
      </c>
      <c r="G492" s="303"/>
    </row>
    <row r="493" spans="1:8" x14ac:dyDescent="0.25">
      <c r="A493" s="299" t="s">
        <v>308</v>
      </c>
      <c r="B493" s="298"/>
      <c r="C493" s="298"/>
      <c r="D493" s="297"/>
      <c r="E493" s="258">
        <f>'[1]Nota II.2.5a'!C138</f>
        <v>1450852619.6700001</v>
      </c>
      <c r="F493" s="258">
        <f>'[1]Nota II.2.5a'!D138</f>
        <v>1603614910.26</v>
      </c>
      <c r="G493" s="307"/>
    </row>
    <row r="494" spans="1:8" x14ac:dyDescent="0.25">
      <c r="A494" s="299" t="s">
        <v>307</v>
      </c>
      <c r="B494" s="298"/>
      <c r="C494" s="298"/>
      <c r="D494" s="297"/>
      <c r="E494" s="258">
        <f>'[1]Nota II.2.5a'!C139</f>
        <v>26599480.300000001</v>
      </c>
      <c r="F494" s="258">
        <f>'[1]Nota II.2.5a'!D139</f>
        <v>25073602.600000001</v>
      </c>
      <c r="G494" s="307"/>
    </row>
    <row r="495" spans="1:8" x14ac:dyDescent="0.25">
      <c r="A495" s="299" t="s">
        <v>306</v>
      </c>
      <c r="B495" s="298"/>
      <c r="C495" s="298"/>
      <c r="D495" s="297"/>
      <c r="E495" s="258">
        <f>'[1]Nota II.2.5a'!C140</f>
        <v>778195497.91999996</v>
      </c>
      <c r="F495" s="258">
        <f>'[1]Nota II.2.5a'!D140</f>
        <v>817996894.76999998</v>
      </c>
      <c r="G495" s="307"/>
    </row>
    <row r="496" spans="1:8" x14ac:dyDescent="0.25">
      <c r="A496" s="299" t="s">
        <v>305</v>
      </c>
      <c r="B496" s="298"/>
      <c r="C496" s="298"/>
      <c r="D496" s="297"/>
      <c r="E496" s="258">
        <f>'[1]Nota II.2.5a'!C141</f>
        <v>1195648.78</v>
      </c>
      <c r="F496" s="258">
        <f>'[1]Nota II.2.5a'!D141</f>
        <v>1823173</v>
      </c>
      <c r="G496" s="307"/>
    </row>
    <row r="497" spans="1:7" hidden="1" x14ac:dyDescent="0.25">
      <c r="A497" s="299" t="s">
        <v>304</v>
      </c>
      <c r="B497" s="298"/>
      <c r="C497" s="298"/>
      <c r="D497" s="297"/>
      <c r="E497" s="258"/>
      <c r="F497" s="258"/>
      <c r="G497" s="307"/>
    </row>
    <row r="498" spans="1:7" x14ac:dyDescent="0.25">
      <c r="A498" s="299" t="s">
        <v>303</v>
      </c>
      <c r="B498" s="298"/>
      <c r="C498" s="298"/>
      <c r="D498" s="297"/>
      <c r="E498" s="258">
        <f>'[1]Nota II.2.5a'!C143</f>
        <v>131020354.26000001</v>
      </c>
      <c r="F498" s="258">
        <f>'[1]Nota II.2.5a'!D143</f>
        <v>138787132.69999999</v>
      </c>
      <c r="G498" s="307"/>
    </row>
    <row r="499" spans="1:7" x14ac:dyDescent="0.25">
      <c r="A499" s="299" t="s">
        <v>302</v>
      </c>
      <c r="B499" s="298"/>
      <c r="C499" s="298"/>
      <c r="D499" s="297"/>
      <c r="E499" s="258">
        <f>'[1]Nota II.2.5a'!C144+'[1]Nota II.2.5a'!C142</f>
        <v>162576101.16</v>
      </c>
      <c r="F499" s="258">
        <f>'[1]Nota II.2.5a'!D144+'[1]Nota II.2.5a'!D142</f>
        <v>195125081.53000003</v>
      </c>
      <c r="G499" s="307"/>
    </row>
    <row r="500" spans="1:7" x14ac:dyDescent="0.25">
      <c r="A500" s="310" t="s">
        <v>301</v>
      </c>
      <c r="B500" s="309"/>
      <c r="C500" s="309"/>
      <c r="D500" s="308"/>
      <c r="E500" s="230">
        <f>SUM(E501:E502)</f>
        <v>8300369800.1800003</v>
      </c>
      <c r="F500" s="230">
        <f>SUM(F501:F502)</f>
        <v>7716764735</v>
      </c>
      <c r="G500" s="303"/>
    </row>
    <row r="501" spans="1:7" x14ac:dyDescent="0.25">
      <c r="A501" s="299" t="s">
        <v>300</v>
      </c>
      <c r="B501" s="298"/>
      <c r="C501" s="298"/>
      <c r="D501" s="297"/>
      <c r="E501" s="258">
        <f>'[1]Nota II.2.5a'!C146</f>
        <v>6935630340.3900003</v>
      </c>
      <c r="F501" s="258">
        <f>'[1]Nota II.2.5a'!D146</f>
        <v>5798725656</v>
      </c>
      <c r="G501" s="307"/>
    </row>
    <row r="502" spans="1:7" x14ac:dyDescent="0.25">
      <c r="A502" s="299" t="s">
        <v>299</v>
      </c>
      <c r="B502" s="298"/>
      <c r="C502" s="298"/>
      <c r="D502" s="297"/>
      <c r="E502" s="258">
        <f>'[1]Nota II.2.5a'!C147</f>
        <v>1364739459.79</v>
      </c>
      <c r="F502" s="258">
        <f>'[1]Nota II.2.5a'!D147</f>
        <v>1918039079</v>
      </c>
      <c r="G502" s="307"/>
    </row>
    <row r="503" spans="1:7" x14ac:dyDescent="0.25">
      <c r="A503" s="306" t="s">
        <v>298</v>
      </c>
      <c r="B503" s="305"/>
      <c r="C503" s="305"/>
      <c r="D503" s="304"/>
      <c r="E503" s="230">
        <f>SUM(E504:E505)</f>
        <v>5275085459.5200005</v>
      </c>
      <c r="F503" s="230">
        <f>SUM(F504:F505)</f>
        <v>5131438752.46</v>
      </c>
      <c r="G503" s="303"/>
    </row>
    <row r="504" spans="1:7" x14ac:dyDescent="0.25">
      <c r="A504" s="299" t="s">
        <v>297</v>
      </c>
      <c r="B504" s="298"/>
      <c r="C504" s="298"/>
      <c r="D504" s="297"/>
      <c r="E504" s="258">
        <f>'[1]Nota II.2.5a'!C149</f>
        <v>2305660862.52</v>
      </c>
      <c r="F504" s="258">
        <f>'[1]Nota II.2.5a'!D149</f>
        <v>1423513309.01</v>
      </c>
      <c r="G504" s="307"/>
    </row>
    <row r="505" spans="1:7" x14ac:dyDescent="0.25">
      <c r="A505" s="299" t="s">
        <v>296</v>
      </c>
      <c r="B505" s="298"/>
      <c r="C505" s="298"/>
      <c r="D505" s="297"/>
      <c r="E505" s="258">
        <f>'[1]Nota II.2.5a'!C150</f>
        <v>2969424597</v>
      </c>
      <c r="F505" s="258">
        <f>'[1]Nota II.2.5a'!D150</f>
        <v>3707925443.4499998</v>
      </c>
      <c r="G505" s="307"/>
    </row>
    <row r="506" spans="1:7" x14ac:dyDescent="0.25">
      <c r="A506" s="306" t="s">
        <v>295</v>
      </c>
      <c r="B506" s="305"/>
      <c r="C506" s="305"/>
      <c r="D506" s="304"/>
      <c r="E506" s="230">
        <f>SUM(E507:E526)</f>
        <v>2167156912.75</v>
      </c>
      <c r="F506" s="230">
        <f>SUM(F507:F526)</f>
        <v>2440611536.0599999</v>
      </c>
      <c r="G506" s="303"/>
    </row>
    <row r="507" spans="1:7" x14ac:dyDescent="0.25">
      <c r="A507" s="299" t="s">
        <v>294</v>
      </c>
      <c r="B507" s="298"/>
      <c r="C507" s="298"/>
      <c r="D507" s="297"/>
      <c r="E507" s="258">
        <f>'[1]Nota II.2.5a'!C152</f>
        <v>148552165.63999999</v>
      </c>
      <c r="F507" s="258">
        <f>'[1]Nota II.2.5a'!D152</f>
        <v>136193267.38</v>
      </c>
      <c r="G507" s="287"/>
    </row>
    <row r="508" spans="1:7" hidden="1" x14ac:dyDescent="0.25">
      <c r="A508" s="299" t="s">
        <v>293</v>
      </c>
      <c r="B508" s="298"/>
      <c r="C508" s="298"/>
      <c r="D508" s="297"/>
      <c r="E508" s="258">
        <f>'[1]Nota II.2.5a'!C153</f>
        <v>130.41999999999999</v>
      </c>
      <c r="F508" s="258">
        <f>'[1]Nota II.2.5a'!D153</f>
        <v>807327.21</v>
      </c>
      <c r="G508" s="287"/>
    </row>
    <row r="509" spans="1:7" x14ac:dyDescent="0.25">
      <c r="A509" s="299" t="s">
        <v>292</v>
      </c>
      <c r="B509" s="298"/>
      <c r="C509" s="298"/>
      <c r="D509" s="297"/>
      <c r="E509" s="258">
        <f>'[1]Nota II.2.5a'!C154</f>
        <v>0</v>
      </c>
      <c r="F509" s="258">
        <f>'[1]Nota II.2.5a'!D154</f>
        <v>0</v>
      </c>
      <c r="G509" s="287"/>
    </row>
    <row r="510" spans="1:7" hidden="1" x14ac:dyDescent="0.25">
      <c r="A510" s="299" t="s">
        <v>291</v>
      </c>
      <c r="B510" s="298"/>
      <c r="C510" s="298"/>
      <c r="D510" s="297"/>
      <c r="E510" s="258">
        <f>'[1]Nota II.2.5a'!C155</f>
        <v>0</v>
      </c>
      <c r="F510" s="258">
        <f>'[1]Nota II.2.5a'!D155</f>
        <v>0</v>
      </c>
      <c r="G510" s="287"/>
    </row>
    <row r="511" spans="1:7" x14ac:dyDescent="0.25">
      <c r="A511" s="299" t="s">
        <v>290</v>
      </c>
      <c r="B511" s="298"/>
      <c r="C511" s="298"/>
      <c r="D511" s="297"/>
      <c r="E511" s="258">
        <f>'[1]Nota II.2.5a'!C156</f>
        <v>17121680.629999999</v>
      </c>
      <c r="F511" s="258">
        <f>'[1]Nota II.2.5a'!D156</f>
        <v>18457502.84</v>
      </c>
      <c r="G511" s="287"/>
    </row>
    <row r="512" spans="1:7" x14ac:dyDescent="0.25">
      <c r="A512" s="299" t="s">
        <v>289</v>
      </c>
      <c r="B512" s="298"/>
      <c r="C512" s="298"/>
      <c r="D512" s="297"/>
      <c r="E512" s="258">
        <f>'[1]Nota II.2.5a'!C157</f>
        <v>12914606.060000001</v>
      </c>
      <c r="F512" s="258">
        <f>'[1]Nota II.2.5a'!D157</f>
        <v>4873606.43</v>
      </c>
      <c r="G512" s="287"/>
    </row>
    <row r="513" spans="1:8" x14ac:dyDescent="0.25">
      <c r="A513" s="299" t="s">
        <v>288</v>
      </c>
      <c r="B513" s="298"/>
      <c r="C513" s="298"/>
      <c r="D513" s="297"/>
      <c r="E513" s="258">
        <f>'[1]Nota II.2.5a'!C158</f>
        <v>115664604.47</v>
      </c>
      <c r="F513" s="258">
        <f>'[1]Nota II.2.5a'!D158</f>
        <v>144742952.69999999</v>
      </c>
      <c r="G513" s="287"/>
    </row>
    <row r="514" spans="1:8" x14ac:dyDescent="0.25">
      <c r="A514" s="299" t="s">
        <v>287</v>
      </c>
      <c r="B514" s="298"/>
      <c r="C514" s="298"/>
      <c r="D514" s="297"/>
      <c r="E514" s="258">
        <f>'[1]Nota II.2.5a'!C159</f>
        <v>61053807.009999998</v>
      </c>
      <c r="F514" s="258">
        <f>'[1]Nota II.2.5a'!D159</f>
        <v>74229939.040000007</v>
      </c>
      <c r="G514" s="287"/>
    </row>
    <row r="515" spans="1:8" s="300" customFormat="1" x14ac:dyDescent="0.25">
      <c r="A515" s="302"/>
      <c r="B515" s="302"/>
      <c r="C515" s="302"/>
      <c r="D515" s="302"/>
      <c r="E515" s="301"/>
      <c r="F515" s="301"/>
      <c r="G515" s="287"/>
    </row>
    <row r="516" spans="1:8" s="300" customFormat="1" x14ac:dyDescent="0.25">
      <c r="A516" s="302"/>
      <c r="B516" s="302"/>
      <c r="C516" s="302"/>
      <c r="D516" s="302"/>
      <c r="E516" s="301"/>
      <c r="F516" s="301"/>
      <c r="G516" s="287"/>
    </row>
    <row r="517" spans="1:8" s="300" customFormat="1" x14ac:dyDescent="0.25">
      <c r="A517" s="302"/>
      <c r="B517" s="302"/>
      <c r="C517" s="302"/>
      <c r="D517" s="302"/>
      <c r="E517" s="301"/>
      <c r="F517" s="301"/>
      <c r="G517" s="287"/>
    </row>
    <row r="518" spans="1:8" s="300" customFormat="1" x14ac:dyDescent="0.25">
      <c r="A518" s="187" t="s">
        <v>286</v>
      </c>
      <c r="B518" s="187"/>
      <c r="C518" s="187"/>
      <c r="D518" s="302"/>
      <c r="E518" s="301"/>
      <c r="F518" s="301"/>
      <c r="G518" s="287"/>
    </row>
    <row r="519" spans="1:8" s="300" customFormat="1" ht="13.5" thickBot="1" x14ac:dyDescent="0.3">
      <c r="A519" s="243"/>
      <c r="B519" s="243"/>
      <c r="C519" s="243"/>
      <c r="D519" s="302"/>
      <c r="E519" s="301"/>
      <c r="F519" s="301"/>
      <c r="G519" s="287"/>
    </row>
    <row r="520" spans="1:8" ht="26.25" thickBot="1" x14ac:dyDescent="0.3">
      <c r="A520" s="185"/>
      <c r="B520" s="184"/>
      <c r="C520" s="184"/>
      <c r="D520" s="183"/>
      <c r="E520" s="181" t="s">
        <v>220</v>
      </c>
      <c r="F520" s="181" t="s">
        <v>219</v>
      </c>
      <c r="G520" s="287"/>
    </row>
    <row r="521" spans="1:8" x14ac:dyDescent="0.25">
      <c r="A521" s="299" t="s">
        <v>285</v>
      </c>
      <c r="B521" s="298"/>
      <c r="C521" s="298"/>
      <c r="D521" s="297"/>
      <c r="E521" s="258">
        <f>'[1]Nota II.2.5a'!C160</f>
        <v>49435106.600000001</v>
      </c>
      <c r="F521" s="258">
        <f>'[1]Nota II.2.5a'!D160</f>
        <v>49911192.299999997</v>
      </c>
      <c r="G521" s="287"/>
    </row>
    <row r="522" spans="1:8" x14ac:dyDescent="0.25">
      <c r="A522" s="296" t="s">
        <v>284</v>
      </c>
      <c r="B522" s="295"/>
      <c r="C522" s="295"/>
      <c r="D522" s="294"/>
      <c r="E522" s="258">
        <f>'[1]Nota II.2.5a'!C161</f>
        <v>21000273.550000001</v>
      </c>
      <c r="F522" s="258">
        <f>'[1]Nota II.2.5a'!D161</f>
        <v>22778856.48</v>
      </c>
      <c r="G522" s="287"/>
    </row>
    <row r="523" spans="1:8" hidden="1" x14ac:dyDescent="0.25">
      <c r="A523" s="296" t="s">
        <v>283</v>
      </c>
      <c r="B523" s="295"/>
      <c r="C523" s="295"/>
      <c r="D523" s="294"/>
      <c r="E523" s="258">
        <f>'[1]Nota II.2.5a'!C162</f>
        <v>0</v>
      </c>
      <c r="F523" s="258">
        <f>'[1]Nota II.2.5a'!D162</f>
        <v>0</v>
      </c>
      <c r="G523" s="287"/>
    </row>
    <row r="524" spans="1:8" x14ac:dyDescent="0.25">
      <c r="A524" s="296" t="s">
        <v>282</v>
      </c>
      <c r="B524" s="295"/>
      <c r="C524" s="295"/>
      <c r="D524" s="294"/>
      <c r="E524" s="258">
        <f>'[1]Nota II.2.5a'!C163</f>
        <v>7661317.6100000003</v>
      </c>
      <c r="F524" s="258">
        <f>'[1]Nota II.2.5a'!D163</f>
        <v>8196312.1500000004</v>
      </c>
      <c r="G524" s="287"/>
    </row>
    <row r="525" spans="1:8" x14ac:dyDescent="0.25">
      <c r="A525" s="293" t="s">
        <v>281</v>
      </c>
      <c r="B525" s="292"/>
      <c r="C525" s="292"/>
      <c r="D525" s="291"/>
      <c r="E525" s="258">
        <f>'[1]Nota II.2.5a'!C164</f>
        <v>1159920868.8999999</v>
      </c>
      <c r="F525" s="258">
        <f>'[1]Nota II.2.5a'!D164</f>
        <v>1178886871.1199999</v>
      </c>
      <c r="G525" s="287"/>
    </row>
    <row r="526" spans="1:8" ht="13.5" thickBot="1" x14ac:dyDescent="0.3">
      <c r="A526" s="290" t="s">
        <v>280</v>
      </c>
      <c r="B526" s="289"/>
      <c r="C526" s="289"/>
      <c r="D526" s="288"/>
      <c r="E526" s="258">
        <f>'[1]Nota II.2.5a'!C165</f>
        <v>573832351.86000001</v>
      </c>
      <c r="F526" s="258">
        <f>'[1]Nota II.2.5a'!D165</f>
        <v>801533708.40999997</v>
      </c>
      <c r="G526" s="287"/>
    </row>
    <row r="527" spans="1:8" ht="13.5" thickBot="1" x14ac:dyDescent="0.3">
      <c r="A527" s="286" t="s">
        <v>279</v>
      </c>
      <c r="B527" s="285"/>
      <c r="C527" s="285"/>
      <c r="D527" s="284"/>
      <c r="E527" s="126">
        <f>SUM(E478+E487+E488+E489+E490+E491)</f>
        <v>18678534948.170002</v>
      </c>
      <c r="F527" s="126">
        <f>SUM(F478+F487+F488+F489+F490+F491)</f>
        <v>18481115128.98</v>
      </c>
      <c r="G527" s="283"/>
      <c r="H527" s="283"/>
    </row>
    <row r="529" spans="1:8" ht="35.25" customHeight="1" x14ac:dyDescent="0.25">
      <c r="A529" s="282" t="s">
        <v>278</v>
      </c>
      <c r="B529" s="282"/>
      <c r="C529" s="282"/>
      <c r="D529" s="282"/>
      <c r="E529" s="282"/>
      <c r="F529" s="282"/>
      <c r="G529" s="282"/>
      <c r="H529" s="282"/>
    </row>
    <row r="532" spans="1:8" x14ac:dyDescent="0.2">
      <c r="A532" s="244" t="s">
        <v>277</v>
      </c>
      <c r="B532" s="105"/>
      <c r="C532" s="105"/>
      <c r="D532" s="105"/>
    </row>
    <row r="533" spans="1:8" ht="13.5" thickBot="1" x14ac:dyDescent="0.25">
      <c r="A533" s="243"/>
      <c r="B533" s="243"/>
      <c r="C533" s="106"/>
    </row>
    <row r="534" spans="1:8" x14ac:dyDescent="0.25">
      <c r="A534" s="281" t="s">
        <v>276</v>
      </c>
      <c r="B534" s="280"/>
      <c r="C534" s="279" t="s">
        <v>220</v>
      </c>
      <c r="D534" s="279" t="s">
        <v>219</v>
      </c>
    </row>
    <row r="535" spans="1:8" ht="13.5" thickBot="1" x14ac:dyDescent="0.3">
      <c r="A535" s="278"/>
      <c r="B535" s="277"/>
      <c r="C535" s="276"/>
      <c r="D535" s="275"/>
    </row>
    <row r="536" spans="1:8" x14ac:dyDescent="0.25">
      <c r="A536" s="274" t="s">
        <v>275</v>
      </c>
      <c r="B536" s="273"/>
      <c r="C536" s="159">
        <f>'[1]Nota II.2.5b'!C44</f>
        <v>111913005.90000001</v>
      </c>
      <c r="D536" s="159">
        <f>'[1]Nota II.2.5b'!D44</f>
        <v>160543178.13</v>
      </c>
    </row>
    <row r="537" spans="1:8" x14ac:dyDescent="0.25">
      <c r="A537" s="272" t="s">
        <v>274</v>
      </c>
      <c r="B537" s="271"/>
      <c r="C537" s="159">
        <f>'[1]Nota II.2.5b'!C45</f>
        <v>18791256.16</v>
      </c>
      <c r="D537" s="159">
        <f>'[1]Nota II.2.5b'!D45</f>
        <v>17504013.82</v>
      </c>
    </row>
    <row r="538" spans="1:8" x14ac:dyDescent="0.25">
      <c r="A538" s="270" t="s">
        <v>273</v>
      </c>
      <c r="B538" s="269"/>
      <c r="C538" s="159">
        <f>'[1]Nota II.2.5b'!C46</f>
        <v>846666858.91999996</v>
      </c>
      <c r="D538" s="159">
        <f>'[1]Nota II.2.5b'!D46</f>
        <v>814416213.84000003</v>
      </c>
    </row>
    <row r="539" spans="1:8" ht="32.25" customHeight="1" x14ac:dyDescent="0.25">
      <c r="A539" s="266" t="s">
        <v>272</v>
      </c>
      <c r="B539" s="265"/>
      <c r="C539" s="159">
        <f>'[1]Nota II.2.5b'!C47</f>
        <v>6508999.1399999997</v>
      </c>
      <c r="D539" s="159">
        <f>'[1]Nota II.2.5b'!D47</f>
        <v>7231818.8399999999</v>
      </c>
    </row>
    <row r="540" spans="1:8" ht="41.25" customHeight="1" x14ac:dyDescent="0.25">
      <c r="A540" s="268" t="s">
        <v>271</v>
      </c>
      <c r="B540" s="267"/>
      <c r="C540" s="159">
        <f>'[1]Nota II.2.5b'!C48</f>
        <v>396901.37</v>
      </c>
      <c r="D540" s="159">
        <f>'[1]Nota II.2.5b'!D48</f>
        <v>737105.48</v>
      </c>
    </row>
    <row r="541" spans="1:8" x14ac:dyDescent="0.25">
      <c r="A541" s="268" t="s">
        <v>270</v>
      </c>
      <c r="B541" s="267"/>
      <c r="C541" s="159">
        <f>'[1]Nota II.2.5b'!C49</f>
        <v>1984225.82</v>
      </c>
      <c r="D541" s="159">
        <f>'[1]Nota II.2.5b'!D49</f>
        <v>1937765.02</v>
      </c>
    </row>
    <row r="542" spans="1:8" x14ac:dyDescent="0.25">
      <c r="A542" s="268" t="s">
        <v>269</v>
      </c>
      <c r="B542" s="267"/>
      <c r="C542" s="159">
        <f>'[1]Nota II.2.5b'!C50</f>
        <v>225390.6</v>
      </c>
      <c r="D542" s="159">
        <f>'[1]Nota II.2.5b'!D50</f>
        <v>214360.53</v>
      </c>
    </row>
    <row r="543" spans="1:8" ht="24.75" customHeight="1" x14ac:dyDescent="0.25">
      <c r="A543" s="268" t="s">
        <v>268</v>
      </c>
      <c r="B543" s="267"/>
      <c r="C543" s="159">
        <f>'[1]Nota II.2.5b'!C51</f>
        <v>10319648.939999999</v>
      </c>
      <c r="D543" s="159">
        <f>'[1]Nota II.2.5b'!D51</f>
        <v>10622233.57</v>
      </c>
    </row>
    <row r="544" spans="1:8" ht="30" customHeight="1" x14ac:dyDescent="0.25">
      <c r="A544" s="266" t="s">
        <v>267</v>
      </c>
      <c r="B544" s="265"/>
      <c r="C544" s="159">
        <f>'[1]Nota II.2.5b'!C52</f>
        <v>44057922.119999997</v>
      </c>
      <c r="D544" s="159">
        <f>'[1]Nota II.2.5b'!D52</f>
        <v>51839739.829999998</v>
      </c>
    </row>
    <row r="545" spans="1:6" ht="13.5" thickBot="1" x14ac:dyDescent="0.3">
      <c r="A545" s="264" t="s">
        <v>266</v>
      </c>
      <c r="B545" s="263"/>
      <c r="C545" s="159">
        <f>'[1]Nota II.2.5b'!C53</f>
        <v>8394330.1400000006</v>
      </c>
      <c r="D545" s="159">
        <f>'[1]Nota II.2.5b'!D53</f>
        <v>7367050.1399999997</v>
      </c>
    </row>
    <row r="546" spans="1:6" ht="13.5" thickBot="1" x14ac:dyDescent="0.3">
      <c r="A546" s="158" t="s">
        <v>176</v>
      </c>
      <c r="B546" s="156"/>
      <c r="C546" s="126">
        <f>SUM(C536:C545)</f>
        <v>1049258539.1100001</v>
      </c>
      <c r="D546" s="126">
        <f>SUM(D536:D545)</f>
        <v>1072413479.2</v>
      </c>
    </row>
    <row r="551" spans="1:6" x14ac:dyDescent="0.25">
      <c r="A551" s="187" t="s">
        <v>265</v>
      </c>
      <c r="B551" s="187"/>
      <c r="C551" s="187"/>
    </row>
    <row r="552" spans="1:6" ht="13.5" thickBot="1" x14ac:dyDescent="0.3">
      <c r="A552" s="243"/>
      <c r="B552" s="243"/>
      <c r="C552" s="243"/>
    </row>
    <row r="553" spans="1:6" ht="26.25" thickBot="1" x14ac:dyDescent="0.3">
      <c r="A553" s="262" t="s">
        <v>264</v>
      </c>
      <c r="B553" s="261"/>
      <c r="C553" s="261"/>
      <c r="D553" s="260"/>
      <c r="E553" s="182" t="s">
        <v>220</v>
      </c>
      <c r="F553" s="181" t="s">
        <v>219</v>
      </c>
    </row>
    <row r="554" spans="1:6" ht="13.5" thickBot="1" x14ac:dyDescent="0.3">
      <c r="A554" s="172" t="s">
        <v>263</v>
      </c>
      <c r="B554" s="171"/>
      <c r="C554" s="171"/>
      <c r="D554" s="170"/>
      <c r="E554" s="239">
        <f>E555+E556+E557</f>
        <v>307608294.63</v>
      </c>
      <c r="F554" s="239">
        <f>F555+F556+F557</f>
        <v>373013387.35000002</v>
      </c>
    </row>
    <row r="555" spans="1:6" x14ac:dyDescent="0.25">
      <c r="A555" s="203" t="s">
        <v>262</v>
      </c>
      <c r="B555" s="202"/>
      <c r="C555" s="202"/>
      <c r="D555" s="201"/>
      <c r="E555" s="259">
        <f>'[1]Nota II.2.5.c'!D77</f>
        <v>220807509.83000001</v>
      </c>
      <c r="F555" s="259">
        <f>'[1]Nota II.2.5.c'!E77</f>
        <v>330509044.72000003</v>
      </c>
    </row>
    <row r="556" spans="1:6" x14ac:dyDescent="0.25">
      <c r="A556" s="165" t="s">
        <v>261</v>
      </c>
      <c r="B556" s="164"/>
      <c r="C556" s="164"/>
      <c r="D556" s="163"/>
      <c r="E556" s="258">
        <f>'[1]Nota II.2.5.c'!D78</f>
        <v>5738149.75</v>
      </c>
      <c r="F556" s="258">
        <f>'[1]Nota II.2.5.c'!E78</f>
        <v>331194.84999999998</v>
      </c>
    </row>
    <row r="557" spans="1:6" ht="13.5" thickBot="1" x14ac:dyDescent="0.3">
      <c r="A557" s="251" t="s">
        <v>260</v>
      </c>
      <c r="B557" s="250"/>
      <c r="C557" s="250"/>
      <c r="D557" s="249"/>
      <c r="E557" s="257">
        <f>'[1]Nota II.2.5.c'!D79</f>
        <v>81062635.049999997</v>
      </c>
      <c r="F557" s="257">
        <f>'[1]Nota II.2.5.c'!E79</f>
        <v>42173147.780000001</v>
      </c>
    </row>
    <row r="558" spans="1:6" ht="13.5" thickBot="1" x14ac:dyDescent="0.3">
      <c r="A558" s="197" t="s">
        <v>259</v>
      </c>
      <c r="B558" s="196"/>
      <c r="C558" s="196"/>
      <c r="D558" s="195"/>
      <c r="E558" s="235">
        <f>'[1]Nota II.2.5.c'!D80</f>
        <v>684942.08</v>
      </c>
      <c r="F558" s="235">
        <f>'[1]Nota II.2.5.c'!E80</f>
        <v>1257024.68</v>
      </c>
    </row>
    <row r="559" spans="1:6" ht="13.5" thickBot="1" x14ac:dyDescent="0.3">
      <c r="A559" s="256" t="s">
        <v>258</v>
      </c>
      <c r="B559" s="255"/>
      <c r="C559" s="255"/>
      <c r="D559" s="254"/>
      <c r="E559" s="169">
        <f>SUM(E560:E569)</f>
        <v>457776365.90000004</v>
      </c>
      <c r="F559" s="169">
        <f>SUM(F560:F569)</f>
        <v>424560435.12</v>
      </c>
    </row>
    <row r="560" spans="1:6" x14ac:dyDescent="0.25">
      <c r="A560" s="180" t="s">
        <v>257</v>
      </c>
      <c r="B560" s="179"/>
      <c r="C560" s="179"/>
      <c r="D560" s="178"/>
      <c r="E560" s="253">
        <f>'[1]Nota II.2.5.c'!D82</f>
        <v>3937955.47</v>
      </c>
      <c r="F560" s="253">
        <f>'[1]Nota II.2.5.c'!E82</f>
        <v>1892601.83</v>
      </c>
    </row>
    <row r="561" spans="1:6" hidden="1" x14ac:dyDescent="0.25">
      <c r="A561" s="168" t="s">
        <v>256</v>
      </c>
      <c r="B561" s="167"/>
      <c r="C561" s="167"/>
      <c r="D561" s="166"/>
      <c r="E561" s="252">
        <f>'[1]Nota II.2.5.c'!D83</f>
        <v>0</v>
      </c>
      <c r="F561" s="252">
        <f>'[1]Nota II.2.5.c'!E83</f>
        <v>0</v>
      </c>
    </row>
    <row r="562" spans="1:6" x14ac:dyDescent="0.25">
      <c r="A562" s="168" t="s">
        <v>255</v>
      </c>
      <c r="B562" s="167"/>
      <c r="C562" s="167"/>
      <c r="D562" s="166"/>
      <c r="E562" s="252">
        <f>'[1]Nota II.2.5.c'!D84</f>
        <v>58363859.240000002</v>
      </c>
      <c r="F562" s="252">
        <f>'[1]Nota II.2.5.c'!E84</f>
        <v>3655829.61</v>
      </c>
    </row>
    <row r="563" spans="1:6" x14ac:dyDescent="0.25">
      <c r="A563" s="168" t="s">
        <v>254</v>
      </c>
      <c r="B563" s="167"/>
      <c r="C563" s="167"/>
      <c r="D563" s="166"/>
      <c r="E563" s="252">
        <f>'[1]Nota II.2.5.c'!D85</f>
        <v>45784.15</v>
      </c>
      <c r="F563" s="252">
        <f>'[1]Nota II.2.5.c'!E85</f>
        <v>2631.1</v>
      </c>
    </row>
    <row r="564" spans="1:6" x14ac:dyDescent="0.25">
      <c r="A564" s="168" t="s">
        <v>253</v>
      </c>
      <c r="B564" s="167"/>
      <c r="C564" s="167"/>
      <c r="D564" s="166"/>
      <c r="E564" s="252">
        <f>'[1]Nota II.2.5.c'!D86</f>
        <v>9412079.4499999993</v>
      </c>
      <c r="F564" s="252">
        <f>'[1]Nota II.2.5.c'!E86</f>
        <v>2897205.23</v>
      </c>
    </row>
    <row r="565" spans="1:6" x14ac:dyDescent="0.25">
      <c r="A565" s="168" t="s">
        <v>252</v>
      </c>
      <c r="B565" s="167"/>
      <c r="C565" s="167"/>
      <c r="D565" s="166"/>
      <c r="E565" s="252">
        <f>'[1]Nota II.2.5.c'!D87</f>
        <v>218210217.93000001</v>
      </c>
      <c r="F565" s="252">
        <f>'[1]Nota II.2.5.c'!E87</f>
        <v>197026079.84999999</v>
      </c>
    </row>
    <row r="566" spans="1:6" x14ac:dyDescent="0.25">
      <c r="A566" s="168" t="s">
        <v>251</v>
      </c>
      <c r="B566" s="167"/>
      <c r="C566" s="167"/>
      <c r="D566" s="166"/>
      <c r="E566" s="252">
        <f>'[1]Nota II.2.5.c'!D88</f>
        <v>106851045.84</v>
      </c>
      <c r="F566" s="252">
        <f>'[1]Nota II.2.5.c'!E88</f>
        <v>118253071.84999999</v>
      </c>
    </row>
    <row r="567" spans="1:6" ht="27" customHeight="1" x14ac:dyDescent="0.25">
      <c r="A567" s="165" t="s">
        <v>250</v>
      </c>
      <c r="B567" s="164"/>
      <c r="C567" s="164"/>
      <c r="D567" s="163"/>
      <c r="E567" s="252">
        <f>'[1]Nota II.2.5.c'!D89</f>
        <v>0</v>
      </c>
      <c r="F567" s="252">
        <f>'[1]Nota II.2.5.c'!E89</f>
        <v>0</v>
      </c>
    </row>
    <row r="568" spans="1:6" ht="62.25" customHeight="1" x14ac:dyDescent="0.25">
      <c r="A568" s="165" t="s">
        <v>249</v>
      </c>
      <c r="B568" s="164"/>
      <c r="C568" s="164"/>
      <c r="D568" s="163"/>
      <c r="E568" s="252">
        <f>'[1]Nota II.2.5.c'!D90</f>
        <v>0</v>
      </c>
      <c r="F568" s="252">
        <f>'[1]Nota II.2.5.c'!E90</f>
        <v>0</v>
      </c>
    </row>
    <row r="569" spans="1:6" ht="56.25" customHeight="1" thickBot="1" x14ac:dyDescent="0.3">
      <c r="A569" s="251" t="s">
        <v>248</v>
      </c>
      <c r="B569" s="250"/>
      <c r="C569" s="250"/>
      <c r="D569" s="249"/>
      <c r="E569" s="248">
        <f>'[1]Nota II.2.5.c'!D91</f>
        <v>60955423.82</v>
      </c>
      <c r="F569" s="248">
        <f>'[1]Nota II.2.5.c'!E91</f>
        <v>100833015.65000001</v>
      </c>
    </row>
    <row r="570" spans="1:6" ht="13.5" thickBot="1" x14ac:dyDescent="0.3">
      <c r="A570" s="247" t="s">
        <v>176</v>
      </c>
      <c r="B570" s="246"/>
      <c r="C570" s="246"/>
      <c r="D570" s="245"/>
      <c r="E570" s="155">
        <f>SUM(E554+E558+E559)</f>
        <v>766069602.61000001</v>
      </c>
      <c r="F570" s="155">
        <f>SUM(F554+F558+F559)</f>
        <v>798830847.1500001</v>
      </c>
    </row>
    <row r="575" spans="1:6" x14ac:dyDescent="0.2">
      <c r="A575" s="244" t="s">
        <v>247</v>
      </c>
      <c r="B575" s="105"/>
      <c r="C575" s="105"/>
      <c r="D575" s="105"/>
    </row>
    <row r="576" spans="1:6" ht="13.5" thickBot="1" x14ac:dyDescent="0.25">
      <c r="A576" s="243"/>
      <c r="B576" s="243"/>
      <c r="C576" s="106"/>
      <c r="D576" s="106"/>
    </row>
    <row r="577" spans="1:6" ht="26.25" thickBot="1" x14ac:dyDescent="0.3">
      <c r="A577" s="185" t="s">
        <v>246</v>
      </c>
      <c r="B577" s="184"/>
      <c r="C577" s="184"/>
      <c r="D577" s="183"/>
      <c r="E577" s="182" t="s">
        <v>220</v>
      </c>
      <c r="F577" s="181" t="s">
        <v>219</v>
      </c>
    </row>
    <row r="578" spans="1:6" ht="30.75" customHeight="1" thickBot="1" x14ac:dyDescent="0.3">
      <c r="A578" s="242" t="s">
        <v>245</v>
      </c>
      <c r="B578" s="241"/>
      <c r="C578" s="241"/>
      <c r="D578" s="240"/>
      <c r="E578" s="239">
        <f>'[1]Nota II.2.5.d'!C55</f>
        <v>0</v>
      </c>
      <c r="F578" s="239">
        <f>'[1]Nota II.2.5.d'!D55</f>
        <v>0</v>
      </c>
    </row>
    <row r="579" spans="1:6" ht="13.5" thickBot="1" x14ac:dyDescent="0.3">
      <c r="A579" s="172" t="s">
        <v>244</v>
      </c>
      <c r="B579" s="171"/>
      <c r="C579" s="171"/>
      <c r="D579" s="170"/>
      <c r="E579" s="239">
        <f>E580+E581+E585</f>
        <v>621554964.23000002</v>
      </c>
      <c r="F579" s="239">
        <f>F580+F581+F585</f>
        <v>692302163.88000011</v>
      </c>
    </row>
    <row r="580" spans="1:6" ht="14.45" customHeight="1" x14ac:dyDescent="0.25">
      <c r="A580" s="238" t="s">
        <v>243</v>
      </c>
      <c r="B580" s="237"/>
      <c r="C580" s="237"/>
      <c r="D580" s="236"/>
      <c r="E580" s="235">
        <f>'[1]Nota II.2.5.d'!C57</f>
        <v>2141474.08</v>
      </c>
      <c r="F580" s="235">
        <f>'[1]Nota II.2.5.d'!D57</f>
        <v>497096.29</v>
      </c>
    </row>
    <row r="581" spans="1:6" x14ac:dyDescent="0.25">
      <c r="A581" s="234" t="s">
        <v>242</v>
      </c>
      <c r="B581" s="233"/>
      <c r="C581" s="233"/>
      <c r="D581" s="232"/>
      <c r="E581" s="231">
        <f>SUM(E582:E584)</f>
        <v>298599579.70999998</v>
      </c>
      <c r="F581" s="231">
        <f>SUM(F582:F584)</f>
        <v>339931624.59000003</v>
      </c>
    </row>
    <row r="582" spans="1:6" ht="32.25" customHeight="1" x14ac:dyDescent="0.25">
      <c r="A582" s="225" t="s">
        <v>241</v>
      </c>
      <c r="B582" s="224"/>
      <c r="C582" s="224"/>
      <c r="D582" s="223"/>
      <c r="E582" s="230">
        <f>'[1]Nota II.2.5.d'!C59</f>
        <v>0</v>
      </c>
      <c r="F582" s="230">
        <f>'[1]Nota II.2.5.d'!D59</f>
        <v>8610</v>
      </c>
    </row>
    <row r="583" spans="1:6" x14ac:dyDescent="0.25">
      <c r="A583" s="225" t="s">
        <v>240</v>
      </c>
      <c r="B583" s="224"/>
      <c r="C583" s="224"/>
      <c r="D583" s="223"/>
      <c r="E583" s="230">
        <f>'[1]Nota II.2.5.d'!C60</f>
        <v>2982116.94</v>
      </c>
      <c r="F583" s="230">
        <f>'[1]Nota II.2.5.d'!D60</f>
        <v>2959968.37</v>
      </c>
    </row>
    <row r="584" spans="1:6" x14ac:dyDescent="0.25">
      <c r="A584" s="225" t="s">
        <v>239</v>
      </c>
      <c r="B584" s="224"/>
      <c r="C584" s="224"/>
      <c r="D584" s="223"/>
      <c r="E584" s="230">
        <f>'[1]Nota II.2.5.d'!C61</f>
        <v>295617462.76999998</v>
      </c>
      <c r="F584" s="230">
        <f>'[1]Nota II.2.5.d'!D61</f>
        <v>336963046.22000003</v>
      </c>
    </row>
    <row r="585" spans="1:6" x14ac:dyDescent="0.25">
      <c r="A585" s="229" t="s">
        <v>238</v>
      </c>
      <c r="B585" s="228"/>
      <c r="C585" s="228"/>
      <c r="D585" s="227"/>
      <c r="E585" s="226">
        <f>SUM(E586:E589)</f>
        <v>320813910.44</v>
      </c>
      <c r="F585" s="226">
        <f>SUM(F586:F589)</f>
        <v>351873443</v>
      </c>
    </row>
    <row r="586" spans="1:6" x14ac:dyDescent="0.25">
      <c r="A586" s="225" t="s">
        <v>237</v>
      </c>
      <c r="B586" s="224"/>
      <c r="C586" s="224"/>
      <c r="D586" s="223"/>
      <c r="E586" s="191">
        <f>'[1]Nota II.2.5.d'!C64</f>
        <v>214275208.19</v>
      </c>
      <c r="F586" s="191">
        <f>'[1]Nota II.2.5.d'!D64</f>
        <v>257984290.38999999</v>
      </c>
    </row>
    <row r="587" spans="1:6" x14ac:dyDescent="0.25">
      <c r="A587" s="222" t="s">
        <v>236</v>
      </c>
      <c r="B587" s="221"/>
      <c r="C587" s="221"/>
      <c r="D587" s="220"/>
      <c r="E587" s="191">
        <f>'[1]Nota II.2.5.d'!C65</f>
        <v>23632750.629999999</v>
      </c>
      <c r="F587" s="191">
        <f>'[1]Nota II.2.5.d'!D65</f>
        <v>13060212.48</v>
      </c>
    </row>
    <row r="588" spans="1:6" x14ac:dyDescent="0.25">
      <c r="A588" s="222" t="s">
        <v>235</v>
      </c>
      <c r="B588" s="221"/>
      <c r="C588" s="221"/>
      <c r="D588" s="220"/>
      <c r="E588" s="191">
        <f>'[1]Nota II.2.5.d'!C66</f>
        <v>0</v>
      </c>
      <c r="F588" s="191">
        <f>'[1]Nota II.2.5.d'!D66</f>
        <v>0</v>
      </c>
    </row>
    <row r="589" spans="1:6" ht="51.75" customHeight="1" thickBot="1" x14ac:dyDescent="0.3">
      <c r="A589" s="219" t="s">
        <v>234</v>
      </c>
      <c r="B589" s="218"/>
      <c r="C589" s="218"/>
      <c r="D589" s="217"/>
      <c r="E589" s="191">
        <f>'[1]Nota II.2.5.d'!C67</f>
        <v>82905951.620000005</v>
      </c>
      <c r="F589" s="191">
        <f>'[1]Nota II.2.5.d'!D67</f>
        <v>80828940.129999995</v>
      </c>
    </row>
    <row r="590" spans="1:6" ht="13.5" thickBot="1" x14ac:dyDescent="0.3">
      <c r="A590" s="216" t="s">
        <v>176</v>
      </c>
      <c r="B590" s="215"/>
      <c r="C590" s="215"/>
      <c r="D590" s="214"/>
      <c r="E590" s="213">
        <f>SUM(E578+E579)</f>
        <v>621554964.23000002</v>
      </c>
      <c r="F590" s="213">
        <f>SUM(F578+F579)</f>
        <v>692302163.88000011</v>
      </c>
    </row>
    <row r="595" spans="1:6" x14ac:dyDescent="0.2">
      <c r="A595" s="212" t="s">
        <v>233</v>
      </c>
      <c r="B595" s="211"/>
      <c r="C595" s="211"/>
    </row>
    <row r="596" spans="1:6" ht="13.5" thickBot="1" x14ac:dyDescent="0.25">
      <c r="A596" s="106"/>
      <c r="B596" s="106"/>
      <c r="C596" s="106"/>
    </row>
    <row r="597" spans="1:6" ht="26.25" thickBot="1" x14ac:dyDescent="0.3">
      <c r="A597" s="210"/>
      <c r="B597" s="209"/>
      <c r="C597" s="209"/>
      <c r="D597" s="208"/>
      <c r="E597" s="207" t="s">
        <v>220</v>
      </c>
      <c r="F597" s="181" t="s">
        <v>219</v>
      </c>
    </row>
    <row r="598" spans="1:6" ht="13.5" thickBot="1" x14ac:dyDescent="0.3">
      <c r="A598" s="206" t="s">
        <v>232</v>
      </c>
      <c r="B598" s="205"/>
      <c r="C598" s="205"/>
      <c r="D598" s="204"/>
      <c r="E598" s="169">
        <f>'[1]Nota II.2.5.e'!C58</f>
        <v>203988.1</v>
      </c>
      <c r="F598" s="169">
        <f>'[1]Nota II.2.5.e'!D58</f>
        <v>253758.2</v>
      </c>
    </row>
    <row r="599" spans="1:6" ht="13.5" thickBot="1" x14ac:dyDescent="0.3">
      <c r="A599" s="197" t="s">
        <v>218</v>
      </c>
      <c r="B599" s="196"/>
      <c r="C599" s="196"/>
      <c r="D599" s="195"/>
      <c r="E599" s="169">
        <f>SUM(E600:E601)</f>
        <v>383951308.97000003</v>
      </c>
      <c r="F599" s="169">
        <f>SUM(F600:F601)</f>
        <v>521671061.81999999</v>
      </c>
    </row>
    <row r="600" spans="1:6" ht="42.6" customHeight="1" x14ac:dyDescent="0.25">
      <c r="A600" s="203" t="s">
        <v>231</v>
      </c>
      <c r="B600" s="202"/>
      <c r="C600" s="202"/>
      <c r="D600" s="201"/>
      <c r="E600" s="177">
        <f>'[1]Nota II.2.5.e'!C62</f>
        <v>135491492.43000001</v>
      </c>
      <c r="F600" s="177">
        <f>'[1]Nota II.2.5.e'!D62</f>
        <v>264803166.22</v>
      </c>
    </row>
    <row r="601" spans="1:6" ht="15.75" customHeight="1" thickBot="1" x14ac:dyDescent="0.3">
      <c r="A601" s="200" t="s">
        <v>230</v>
      </c>
      <c r="B601" s="199"/>
      <c r="C601" s="199"/>
      <c r="D601" s="198"/>
      <c r="E601" s="173">
        <f>'[1]Nota II.2.5.e'!C63</f>
        <v>248459816.53999999</v>
      </c>
      <c r="F601" s="173">
        <f>'[1]Nota II.2.5.e'!D63</f>
        <v>256867895.59999999</v>
      </c>
    </row>
    <row r="602" spans="1:6" ht="13.5" thickBot="1" x14ac:dyDescent="0.3">
      <c r="A602" s="197" t="s">
        <v>229</v>
      </c>
      <c r="B602" s="196"/>
      <c r="C602" s="196"/>
      <c r="D602" s="195"/>
      <c r="E602" s="169">
        <f>SUM(E603:E609)</f>
        <v>150347856.31999999</v>
      </c>
      <c r="F602" s="169">
        <f>SUM(F603:F609)</f>
        <v>103546494.70000002</v>
      </c>
    </row>
    <row r="603" spans="1:6" x14ac:dyDescent="0.25">
      <c r="A603" s="180" t="s">
        <v>228</v>
      </c>
      <c r="B603" s="179"/>
      <c r="C603" s="179"/>
      <c r="D603" s="178"/>
      <c r="E603" s="177">
        <f>'[1]Nota II.2.5.e'!C65</f>
        <v>0</v>
      </c>
      <c r="F603" s="177">
        <f>'[1]Nota II.2.5.e'!D65</f>
        <v>0</v>
      </c>
    </row>
    <row r="604" spans="1:6" x14ac:dyDescent="0.25">
      <c r="A604" s="194" t="s">
        <v>227</v>
      </c>
      <c r="B604" s="193"/>
      <c r="C604" s="193"/>
      <c r="D604" s="192"/>
      <c r="E604" s="191">
        <f>'[1]Nota II.2.5.e'!C66</f>
        <v>4622.79</v>
      </c>
      <c r="F604" s="191">
        <f>'[1]Nota II.2.5.e'!D66</f>
        <v>7084.26</v>
      </c>
    </row>
    <row r="605" spans="1:6" x14ac:dyDescent="0.25">
      <c r="A605" s="168" t="s">
        <v>226</v>
      </c>
      <c r="B605" s="167"/>
      <c r="C605" s="167"/>
      <c r="D605" s="166"/>
      <c r="E605" s="191">
        <f>'[1]Nota II.2.5.e'!C67</f>
        <v>100216756.63</v>
      </c>
      <c r="F605" s="191">
        <f>'[1]Nota II.2.5.e'!D67</f>
        <v>100897293.43000001</v>
      </c>
    </row>
    <row r="606" spans="1:6" x14ac:dyDescent="0.25">
      <c r="A606" s="165" t="s">
        <v>225</v>
      </c>
      <c r="B606" s="164"/>
      <c r="C606" s="164"/>
      <c r="D606" s="163"/>
      <c r="E606" s="191">
        <f>'[1]Nota II.2.5.e'!C68</f>
        <v>9838247.7699999996</v>
      </c>
      <c r="F606" s="191">
        <f>'[1]Nota II.2.5.e'!D68</f>
        <v>0</v>
      </c>
    </row>
    <row r="607" spans="1:6" x14ac:dyDescent="0.25">
      <c r="A607" s="165" t="s">
        <v>224</v>
      </c>
      <c r="B607" s="164"/>
      <c r="C607" s="164"/>
      <c r="D607" s="163"/>
      <c r="E607" s="191">
        <f>'[1]Nota II.2.5.e'!C69</f>
        <v>0</v>
      </c>
      <c r="F607" s="191">
        <f>'[1]Nota II.2.5.e'!D69</f>
        <v>0</v>
      </c>
    </row>
    <row r="608" spans="1:6" x14ac:dyDescent="0.25">
      <c r="A608" s="165" t="s">
        <v>223</v>
      </c>
      <c r="B608" s="164"/>
      <c r="C608" s="164"/>
      <c r="D608" s="163"/>
      <c r="E608" s="191">
        <f>'[1]Nota II.2.5.e'!C70</f>
        <v>1697271.64</v>
      </c>
      <c r="F608" s="191">
        <f>'[1]Nota II.2.5.e'!D70</f>
        <v>2257498.5</v>
      </c>
    </row>
    <row r="609" spans="1:6" ht="13.5" thickBot="1" x14ac:dyDescent="0.3">
      <c r="A609" s="190" t="s">
        <v>222</v>
      </c>
      <c r="B609" s="189"/>
      <c r="C609" s="189"/>
      <c r="D609" s="188"/>
      <c r="E609" s="173">
        <f>'[1]Nota II.2.5.e'!C71</f>
        <v>38590957.490000002</v>
      </c>
      <c r="F609" s="173">
        <f>'[1]Nota II.2.5.e'!D71</f>
        <v>384618.51</v>
      </c>
    </row>
    <row r="610" spans="1:6" ht="13.5" thickBot="1" x14ac:dyDescent="0.3">
      <c r="A610" s="158" t="s">
        <v>176</v>
      </c>
      <c r="B610" s="157"/>
      <c r="C610" s="157"/>
      <c r="D610" s="156"/>
      <c r="E610" s="155">
        <f>SUM(E598+E599+E602)</f>
        <v>534503153.39000005</v>
      </c>
      <c r="F610" s="155">
        <f>SUM(F598+F599+F602)</f>
        <v>625471314.72000003</v>
      </c>
    </row>
    <row r="613" spans="1:6" x14ac:dyDescent="0.25">
      <c r="A613" s="187" t="s">
        <v>221</v>
      </c>
      <c r="B613" s="187"/>
      <c r="C613" s="187"/>
    </row>
    <row r="614" spans="1:6" ht="13.5" thickBot="1" x14ac:dyDescent="0.3">
      <c r="A614" s="186"/>
      <c r="B614" s="186"/>
      <c r="C614" s="186"/>
    </row>
    <row r="615" spans="1:6" ht="26.25" thickBot="1" x14ac:dyDescent="0.3">
      <c r="A615" s="185"/>
      <c r="B615" s="184"/>
      <c r="C615" s="184"/>
      <c r="D615" s="183"/>
      <c r="E615" s="182" t="s">
        <v>220</v>
      </c>
      <c r="F615" s="181" t="s">
        <v>219</v>
      </c>
    </row>
    <row r="616" spans="1:6" ht="13.5" thickBot="1" x14ac:dyDescent="0.3">
      <c r="A616" s="172" t="s">
        <v>218</v>
      </c>
      <c r="B616" s="171"/>
      <c r="C616" s="171"/>
      <c r="D616" s="170"/>
      <c r="E616" s="169">
        <f>E617+E618</f>
        <v>185021567.25999999</v>
      </c>
      <c r="F616" s="169">
        <f>F617+F618</f>
        <v>179560614.75</v>
      </c>
    </row>
    <row r="617" spans="1:6" x14ac:dyDescent="0.25">
      <c r="A617" s="180" t="s">
        <v>217</v>
      </c>
      <c r="B617" s="179"/>
      <c r="C617" s="179"/>
      <c r="D617" s="178"/>
      <c r="E617" s="177">
        <f>'[1]Nota II.2.5.f'!C59</f>
        <v>180755820.22999999</v>
      </c>
      <c r="F617" s="177">
        <f>'[1]Nota II.2.5.f'!D59</f>
        <v>177459870.08000001</v>
      </c>
    </row>
    <row r="618" spans="1:6" ht="13.5" thickBot="1" x14ac:dyDescent="0.3">
      <c r="A618" s="176" t="s">
        <v>216</v>
      </c>
      <c r="B618" s="175"/>
      <c r="C618" s="175"/>
      <c r="D618" s="174"/>
      <c r="E618" s="173">
        <f>'[1]Nota II.2.5.f'!C60</f>
        <v>4265747.03</v>
      </c>
      <c r="F618" s="173">
        <f>'[1]Nota II.2.5.f'!D60</f>
        <v>2100744.67</v>
      </c>
    </row>
    <row r="619" spans="1:6" ht="13.5" thickBot="1" x14ac:dyDescent="0.3">
      <c r="A619" s="172" t="s">
        <v>215</v>
      </c>
      <c r="B619" s="171"/>
      <c r="C619" s="171"/>
      <c r="D619" s="170"/>
      <c r="E619" s="169">
        <f>SUM(E620:E625)</f>
        <v>669015074.16000009</v>
      </c>
      <c r="F619" s="169">
        <f>SUM(F620:F625)</f>
        <v>975869479.19999993</v>
      </c>
    </row>
    <row r="620" spans="1:6" x14ac:dyDescent="0.25">
      <c r="A620" s="168" t="s">
        <v>214</v>
      </c>
      <c r="B620" s="167"/>
      <c r="C620" s="167"/>
      <c r="D620" s="166"/>
      <c r="E620" s="159">
        <f>'[1]Nota II.2.5.f'!C64</f>
        <v>56767.99</v>
      </c>
      <c r="F620" s="159">
        <f>'[1]Nota II.2.5.f'!D64</f>
        <v>4912.95</v>
      </c>
    </row>
    <row r="621" spans="1:6" x14ac:dyDescent="0.25">
      <c r="A621" s="165" t="s">
        <v>213</v>
      </c>
      <c r="B621" s="164"/>
      <c r="C621" s="164"/>
      <c r="D621" s="163"/>
      <c r="E621" s="159">
        <f>'[1]Nota II.2.5.f'!C65</f>
        <v>0</v>
      </c>
      <c r="F621" s="159">
        <f>'[1]Nota II.2.5.f'!D65</f>
        <v>9230483.3499999996</v>
      </c>
    </row>
    <row r="622" spans="1:6" x14ac:dyDescent="0.25">
      <c r="A622" s="165" t="s">
        <v>212</v>
      </c>
      <c r="B622" s="164"/>
      <c r="C622" s="164"/>
      <c r="D622" s="163"/>
      <c r="E622" s="159">
        <f>'[1]Nota II.2.5.f'!C66</f>
        <v>183357390.22999999</v>
      </c>
      <c r="F622" s="159">
        <f>'[1]Nota II.2.5.f'!D66</f>
        <v>310494361.07999998</v>
      </c>
    </row>
    <row r="623" spans="1:6" x14ac:dyDescent="0.25">
      <c r="A623" s="165" t="s">
        <v>211</v>
      </c>
      <c r="B623" s="164"/>
      <c r="C623" s="164"/>
      <c r="D623" s="163"/>
      <c r="E623" s="159">
        <f>'[1]Nota II.2.5.f'!C67</f>
        <v>40556798.039999999</v>
      </c>
      <c r="F623" s="159">
        <f>'[1]Nota II.2.5.f'!D67</f>
        <v>120608188.15000001</v>
      </c>
    </row>
    <row r="624" spans="1:6" x14ac:dyDescent="0.25">
      <c r="A624" s="165" t="s">
        <v>210</v>
      </c>
      <c r="B624" s="164"/>
      <c r="C624" s="164"/>
      <c r="D624" s="163"/>
      <c r="E624" s="159">
        <f>'[1]Nota II.2.5.f'!C68</f>
        <v>1949046.8</v>
      </c>
      <c r="F624" s="159">
        <f>'[1]Nota II.2.5.f'!D68</f>
        <v>430250.08</v>
      </c>
    </row>
    <row r="625" spans="1:6" ht="13.5" thickBot="1" x14ac:dyDescent="0.3">
      <c r="A625" s="162" t="s">
        <v>209</v>
      </c>
      <c r="B625" s="161"/>
      <c r="C625" s="161"/>
      <c r="D625" s="160"/>
      <c r="E625" s="159">
        <f>'[1]Nota II.2.5.f'!C69</f>
        <v>443095071.10000002</v>
      </c>
      <c r="F625" s="159">
        <f>'[1]Nota II.2.5.f'!D69</f>
        <v>535101283.58999997</v>
      </c>
    </row>
    <row r="626" spans="1:6" ht="13.5" thickBot="1" x14ac:dyDescent="0.3">
      <c r="A626" s="158" t="s">
        <v>176</v>
      </c>
      <c r="B626" s="157"/>
      <c r="C626" s="157"/>
      <c r="D626" s="156"/>
      <c r="E626" s="155">
        <f>SUM(E616+E619)</f>
        <v>854036641.42000008</v>
      </c>
      <c r="F626" s="155">
        <f>SUM(F616+F619)</f>
        <v>1155430093.9499998</v>
      </c>
    </row>
    <row r="632" spans="1:6" x14ac:dyDescent="0.25">
      <c r="A632" s="123" t="s">
        <v>208</v>
      </c>
      <c r="B632" s="123"/>
      <c r="C632" s="123"/>
      <c r="D632" s="123"/>
      <c r="E632" s="123"/>
      <c r="F632" s="123"/>
    </row>
    <row r="633" spans="1:6" ht="13.5" thickBot="1" x14ac:dyDescent="0.3">
      <c r="A633" s="154"/>
    </row>
    <row r="634" spans="1:6" ht="13.5" thickBot="1" x14ac:dyDescent="0.3">
      <c r="A634" s="153" t="s">
        <v>207</v>
      </c>
      <c r="B634" s="152"/>
      <c r="C634" s="151" t="s">
        <v>206</v>
      </c>
      <c r="D634" s="150"/>
      <c r="E634" s="150"/>
      <c r="F634" s="149"/>
    </row>
    <row r="635" spans="1:6" ht="13.5" thickBot="1" x14ac:dyDescent="0.3">
      <c r="A635" s="148"/>
      <c r="B635" s="147"/>
      <c r="C635" s="146" t="s">
        <v>205</v>
      </c>
      <c r="D635" s="144" t="s">
        <v>204</v>
      </c>
      <c r="E635" s="145" t="s">
        <v>203</v>
      </c>
      <c r="F635" s="144" t="s">
        <v>202</v>
      </c>
    </row>
    <row r="636" spans="1:6" ht="33.75" customHeight="1" x14ac:dyDescent="0.25">
      <c r="A636" s="143" t="s">
        <v>201</v>
      </c>
      <c r="B636" s="142"/>
      <c r="C636" s="141">
        <f>SUM(C637:C658)</f>
        <v>116760970.82000001</v>
      </c>
      <c r="D636" s="141">
        <f>SUM(D637:D658)</f>
        <v>34524493.850000001</v>
      </c>
      <c r="E636" s="141">
        <f>SUM(E637:E658)</f>
        <v>324350587.43000001</v>
      </c>
      <c r="F636" s="130">
        <f>SUM(F637:F658)</f>
        <v>702528512.26000011</v>
      </c>
    </row>
    <row r="637" spans="1:6" ht="13.5" customHeight="1" x14ac:dyDescent="0.25">
      <c r="A637" s="140" t="s">
        <v>200</v>
      </c>
      <c r="B637" s="139"/>
      <c r="C637" s="131">
        <v>0</v>
      </c>
      <c r="D637" s="131">
        <f>'[1]Nota II.2.5.g'!D11</f>
        <v>55050</v>
      </c>
      <c r="E637" s="131">
        <f>'[1]Nota II.2.5.g'!E11</f>
        <v>34918</v>
      </c>
      <c r="F637" s="130">
        <f>'[1]Nota II.2.5.g'!F11</f>
        <v>1144721.25</v>
      </c>
    </row>
    <row r="638" spans="1:6" ht="13.5" customHeight="1" x14ac:dyDescent="0.25">
      <c r="A638" s="137" t="s">
        <v>199</v>
      </c>
      <c r="B638" s="136"/>
      <c r="C638" s="131">
        <f>'[1]Nota II.2.5.g'!C12</f>
        <v>174873.4</v>
      </c>
      <c r="D638" s="131">
        <f>'[1]Nota II.2.5.g'!D12</f>
        <v>526106.77</v>
      </c>
      <c r="E638" s="131">
        <v>0</v>
      </c>
      <c r="F638" s="130">
        <f>'[1]Nota II.2.5.g'!F12</f>
        <v>7005517.8099999996</v>
      </c>
    </row>
    <row r="639" spans="1:6" ht="13.5" customHeight="1" x14ac:dyDescent="0.25">
      <c r="A639" s="137" t="s">
        <v>198</v>
      </c>
      <c r="B639" s="136"/>
      <c r="C639" s="131">
        <f>'[1]Nota II.2.5.g'!C13</f>
        <v>0</v>
      </c>
      <c r="D639" s="131">
        <v>0</v>
      </c>
      <c r="E639" s="131">
        <f>'[1]Nota II.2.5.g'!E13</f>
        <v>1562179.22</v>
      </c>
      <c r="F639" s="130">
        <f>'[1]Nota II.2.5.g'!F13</f>
        <v>3340</v>
      </c>
    </row>
    <row r="640" spans="1:6" ht="27" customHeight="1" x14ac:dyDescent="0.25">
      <c r="A640" s="137" t="s">
        <v>197</v>
      </c>
      <c r="B640" s="136"/>
      <c r="C640" s="131">
        <f>'[1]Nota II.2.5.g'!C14</f>
        <v>91124669.349999994</v>
      </c>
      <c r="D640" s="131">
        <f>'[1]Nota II.2.5.g'!D14</f>
        <v>25746331.690000001</v>
      </c>
      <c r="E640" s="131">
        <f>'[1]Nota II.2.5.g'!E14</f>
        <v>98504218.530000001</v>
      </c>
      <c r="F640" s="130">
        <f>'[1]Nota II.2.5.g'!F14</f>
        <v>651244695.82000005</v>
      </c>
    </row>
    <row r="641" spans="1:6" ht="24.75" customHeight="1" x14ac:dyDescent="0.25">
      <c r="A641" s="137" t="s">
        <v>196</v>
      </c>
      <c r="B641" s="136"/>
      <c r="C641" s="131">
        <f>'[1]Nota II.2.5.g'!C15</f>
        <v>0</v>
      </c>
      <c r="D641" s="131">
        <f>'[1]Nota II.2.5.g'!D15</f>
        <v>0</v>
      </c>
      <c r="E641" s="131">
        <f>'[1]Nota II.2.5.g'!E15</f>
        <v>3936554.66</v>
      </c>
      <c r="F641" s="130">
        <f>'[1]Nota II.2.5.g'!F15</f>
        <v>0</v>
      </c>
    </row>
    <row r="642" spans="1:6" ht="23.25" customHeight="1" x14ac:dyDescent="0.25">
      <c r="A642" s="137" t="s">
        <v>195</v>
      </c>
      <c r="B642" s="136"/>
      <c r="C642" s="131">
        <f>'[1]Nota II.2.5.g'!C16</f>
        <v>0</v>
      </c>
      <c r="D642" s="131">
        <f>'[1]Nota II.2.5.g'!D16</f>
        <v>0</v>
      </c>
      <c r="E642" s="131">
        <f>'[1]Nota II.2.5.g'!E16</f>
        <v>17718</v>
      </c>
      <c r="F642" s="130">
        <f>'[1]Nota II.2.5.g'!F16</f>
        <v>0</v>
      </c>
    </row>
    <row r="643" spans="1:6" ht="24.75" customHeight="1" x14ac:dyDescent="0.25">
      <c r="A643" s="137" t="s">
        <v>194</v>
      </c>
      <c r="B643" s="136"/>
      <c r="C643" s="131">
        <f>'[1]Nota II.2.5.g'!C17</f>
        <v>1225385.79</v>
      </c>
      <c r="D643" s="131">
        <f>'[1]Nota II.2.5.g'!D17</f>
        <v>7707530.5599999996</v>
      </c>
      <c r="E643" s="131">
        <f>'[1]Nota II.2.5.g'!E17</f>
        <v>179522437.99000001</v>
      </c>
      <c r="F643" s="130">
        <f>'[1]Nota II.2.5.g'!F17</f>
        <v>31220574.989999998</v>
      </c>
    </row>
    <row r="644" spans="1:6" x14ac:dyDescent="0.25">
      <c r="A644" s="137" t="s">
        <v>193</v>
      </c>
      <c r="B644" s="136"/>
      <c r="C644" s="131">
        <v>0</v>
      </c>
      <c r="D644" s="131">
        <f>'[1]Nota II.2.5.g'!D18</f>
        <v>26566.68</v>
      </c>
      <c r="E644" s="131">
        <f>'[1]Nota II.2.5.g'!E18</f>
        <v>6100445.75</v>
      </c>
      <c r="F644" s="130">
        <f>'[1]Nota II.2.5.g'!F18</f>
        <v>2415353.98</v>
      </c>
    </row>
    <row r="645" spans="1:6" ht="29.25" customHeight="1" x14ac:dyDescent="0.25">
      <c r="A645" s="137" t="s">
        <v>192</v>
      </c>
      <c r="B645" s="136"/>
      <c r="C645" s="131">
        <f>'[1]Nota II.2.5.g'!C19</f>
        <v>0</v>
      </c>
      <c r="D645" s="131">
        <f>'[1]Nota II.2.5.g'!D19</f>
        <v>0</v>
      </c>
      <c r="E645" s="131">
        <f>'[1]Nota II.2.5.g'!E19</f>
        <v>721949.83</v>
      </c>
      <c r="F645" s="130">
        <f>'[1]Nota II.2.5.g'!F19</f>
        <v>0</v>
      </c>
    </row>
    <row r="646" spans="1:6" x14ac:dyDescent="0.25">
      <c r="A646" s="137" t="s">
        <v>191</v>
      </c>
      <c r="B646" s="136"/>
      <c r="C646" s="131">
        <f>'[1]Nota II.2.5.g'!C20</f>
        <v>875023.15</v>
      </c>
      <c r="D646" s="131">
        <f>'[1]Nota II.2.5.g'!D20</f>
        <v>0</v>
      </c>
      <c r="E646" s="131">
        <f>'[1]Nota II.2.5.g'!E20</f>
        <v>39429</v>
      </c>
      <c r="F646" s="130">
        <f>'[1]Nota II.2.5.g'!F20</f>
        <v>0</v>
      </c>
    </row>
    <row r="647" spans="1:6" ht="12.75" customHeight="1" x14ac:dyDescent="0.25">
      <c r="A647" s="137" t="s">
        <v>190</v>
      </c>
      <c r="B647" s="136"/>
      <c r="C647" s="131">
        <f>'[1]Nota II.2.5.g'!C22</f>
        <v>0</v>
      </c>
      <c r="D647" s="131">
        <f>'[1]Nota II.2.5.g'!D22</f>
        <v>161316.96</v>
      </c>
      <c r="E647" s="131">
        <f>'[1]Nota II.2.5.g'!E22</f>
        <v>28496</v>
      </c>
      <c r="F647" s="130">
        <f>'[1]Nota II.2.5.g'!F22</f>
        <v>3208692.77</v>
      </c>
    </row>
    <row r="648" spans="1:6" ht="12.75" customHeight="1" x14ac:dyDescent="0.25">
      <c r="A648" s="137" t="s">
        <v>189</v>
      </c>
      <c r="B648" s="136"/>
      <c r="C648" s="131">
        <f>'[1]Nota II.2.5.g'!C21</f>
        <v>0</v>
      </c>
      <c r="D648" s="131">
        <f>'[1]Nota II.2.5.g'!D21</f>
        <v>19939</v>
      </c>
      <c r="E648" s="131">
        <f>'[1]Nota II.2.5.g'!E21</f>
        <v>270682</v>
      </c>
      <c r="F648" s="130">
        <f>'[1]Nota II.2.5.g'!F21</f>
        <v>0</v>
      </c>
    </row>
    <row r="649" spans="1:6" x14ac:dyDescent="0.25">
      <c r="A649" s="137" t="s">
        <v>188</v>
      </c>
      <c r="B649" s="136"/>
      <c r="C649" s="131">
        <f>'[1]Nota II.2.5.g'!C23</f>
        <v>0</v>
      </c>
      <c r="D649" s="131">
        <f>'[1]Nota II.2.5.g'!D23</f>
        <v>0</v>
      </c>
      <c r="E649" s="131">
        <f>'[1]Nota II.2.5.g'!E23</f>
        <v>67197</v>
      </c>
      <c r="F649" s="130">
        <f>'[1]Nota II.2.5.g'!F23</f>
        <v>0</v>
      </c>
    </row>
    <row r="650" spans="1:6" ht="12.75" customHeight="1" x14ac:dyDescent="0.25">
      <c r="A650" s="137" t="s">
        <v>187</v>
      </c>
      <c r="B650" s="136"/>
      <c r="C650" s="131">
        <f>'[1]Nota II.2.5.g'!C24</f>
        <v>0</v>
      </c>
      <c r="D650" s="131">
        <f>'[1]Nota II.2.5.g'!D24</f>
        <v>0</v>
      </c>
      <c r="E650" s="131">
        <f>'[1]Nota II.2.5.g'!E24</f>
        <v>143655</v>
      </c>
      <c r="F650" s="130">
        <f>'[1]Nota II.2.5.g'!F24</f>
        <v>5000000</v>
      </c>
    </row>
    <row r="651" spans="1:6" x14ac:dyDescent="0.25">
      <c r="A651" s="137" t="s">
        <v>186</v>
      </c>
      <c r="B651" s="136"/>
      <c r="C651" s="131">
        <f>'[1]Nota II.2.5.g'!C25</f>
        <v>0</v>
      </c>
      <c r="D651" s="131">
        <f>'[1]Nota II.2.5.g'!D25</f>
        <v>7500</v>
      </c>
      <c r="E651" s="131">
        <f>'[1]Nota II.2.5.g'!E25</f>
        <v>107795</v>
      </c>
      <c r="F651" s="130">
        <f>'[1]Nota II.2.5.g'!F25</f>
        <v>126000</v>
      </c>
    </row>
    <row r="652" spans="1:6" ht="12.75" customHeight="1" x14ac:dyDescent="0.25">
      <c r="A652" s="137" t="s">
        <v>185</v>
      </c>
      <c r="B652" s="136"/>
      <c r="C652" s="131">
        <f>'[1]Nota II.2.5.g'!C26</f>
        <v>6713</v>
      </c>
      <c r="D652" s="131">
        <f>'[1]Nota II.2.5.g'!D26</f>
        <v>0</v>
      </c>
      <c r="E652" s="131">
        <f>'[1]Nota II.2.5.g'!E26</f>
        <v>152751</v>
      </c>
      <c r="F652" s="130">
        <f>'[1]Nota II.2.5.g'!F26</f>
        <v>199136</v>
      </c>
    </row>
    <row r="653" spans="1:6" x14ac:dyDescent="0.25">
      <c r="A653" s="137" t="s">
        <v>184</v>
      </c>
      <c r="B653" s="136"/>
      <c r="C653" s="131">
        <f>'[1]Nota II.2.5.g'!C27</f>
        <v>0</v>
      </c>
      <c r="D653" s="131">
        <f>'[1]Nota II.2.5.g'!D27</f>
        <v>69901.55</v>
      </c>
      <c r="E653" s="131">
        <f>'[1]Nota II.2.5.g'!E27</f>
        <v>228380</v>
      </c>
      <c r="F653" s="130">
        <f>'[1]Nota II.2.5.g'!F27</f>
        <v>748528.5</v>
      </c>
    </row>
    <row r="654" spans="1:6" ht="21.75" customHeight="1" x14ac:dyDescent="0.25">
      <c r="A654" s="137" t="s">
        <v>183</v>
      </c>
      <c r="B654" s="136"/>
      <c r="C654" s="131">
        <f>'[1]Nota II.2.5.g'!C33</f>
        <v>0</v>
      </c>
      <c r="D654" s="131">
        <f>'[1]Nota II.2.5.g'!D33</f>
        <v>0</v>
      </c>
      <c r="E654" s="131">
        <f>'[1]Nota II.2.5.g'!E33</f>
        <v>26416</v>
      </c>
      <c r="F654" s="138">
        <f>'[1]Nota II.2.5.g'!F33</f>
        <v>0</v>
      </c>
    </row>
    <row r="655" spans="1:6" ht="12.75" customHeight="1" x14ac:dyDescent="0.25">
      <c r="A655" s="137" t="s">
        <v>182</v>
      </c>
      <c r="B655" s="136"/>
      <c r="C655" s="131">
        <f>'[1]Nota II.2.5.g'!C28+'[1]Nota II.2.5.g'!C30</f>
        <v>12104271.130000001</v>
      </c>
      <c r="D655" s="131">
        <v>0</v>
      </c>
      <c r="E655" s="131">
        <f>'[1]Nota II.2.5.g'!E28+'[1]Nota II.2.5.g'!E30</f>
        <v>1960363.66</v>
      </c>
      <c r="F655" s="130">
        <f>'[1]Nota II.2.5.g'!F28+'[1]Nota II.2.5.g'!F30</f>
        <v>0</v>
      </c>
    </row>
    <row r="656" spans="1:6" ht="12.75" customHeight="1" x14ac:dyDescent="0.25">
      <c r="A656" s="137" t="s">
        <v>181</v>
      </c>
      <c r="B656" s="136"/>
      <c r="C656" s="131">
        <f>'[1]Nota II.2.5.g'!C29</f>
        <v>11250035</v>
      </c>
      <c r="D656" s="131">
        <f>'[1]Nota II.2.5.g'!D29</f>
        <v>0</v>
      </c>
      <c r="E656" s="131">
        <f>'[1]Nota II.2.5.g'!E29</f>
        <v>2366289.2400000002</v>
      </c>
      <c r="F656" s="130">
        <f>'[1]Nota II.2.5.g'!F29</f>
        <v>2406.4499999999998</v>
      </c>
    </row>
    <row r="657" spans="1:6" x14ac:dyDescent="0.25">
      <c r="A657" s="137" t="s">
        <v>180</v>
      </c>
      <c r="B657" s="136"/>
      <c r="C657" s="131">
        <v>0</v>
      </c>
      <c r="D657" s="131">
        <f>'[1]Nota II.2.5.g'!D31</f>
        <v>204250.64</v>
      </c>
      <c r="E657" s="131">
        <f>'[1]Nota II.2.5.g'!E31</f>
        <v>28558711.550000001</v>
      </c>
      <c r="F657" s="130">
        <f>'[1]Nota II.2.5.g'!F31</f>
        <v>0</v>
      </c>
    </row>
    <row r="658" spans="1:6" x14ac:dyDescent="0.25">
      <c r="A658" s="137" t="s">
        <v>179</v>
      </c>
      <c r="B658" s="136"/>
      <c r="C658" s="131">
        <f>'[1]Nota II.2.5.g'!C32</f>
        <v>0</v>
      </c>
      <c r="D658" s="131">
        <v>0</v>
      </c>
      <c r="E658" s="131">
        <f>'[1]Nota II.2.5.g'!E32</f>
        <v>0</v>
      </c>
      <c r="F658" s="130">
        <f>'[1]Nota II.2.5.g'!F32</f>
        <v>209544.69</v>
      </c>
    </row>
    <row r="659" spans="1:6" x14ac:dyDescent="0.25">
      <c r="A659" s="135" t="s">
        <v>178</v>
      </c>
      <c r="B659" s="134"/>
      <c r="C659" s="131">
        <v>0</v>
      </c>
      <c r="D659" s="131">
        <f>'[1]Nota II.2.5.g'!D34</f>
        <v>336416.29</v>
      </c>
      <c r="E659" s="131">
        <f>'[1]Nota II.2.5.g'!E34</f>
        <v>1520885.7</v>
      </c>
      <c r="F659" s="130">
        <f>'[1]Nota II.2.5.g'!F34</f>
        <v>6191564.1200000001</v>
      </c>
    </row>
    <row r="660" spans="1:6" ht="13.5" thickBot="1" x14ac:dyDescent="0.3">
      <c r="A660" s="133" t="s">
        <v>177</v>
      </c>
      <c r="B660" s="132"/>
      <c r="C660" s="131">
        <f>'[1]Nota II.2.5.g'!C35</f>
        <v>5646.91</v>
      </c>
      <c r="D660" s="131">
        <f>'[1]Nota II.2.5.g'!D35</f>
        <v>18706.259999999998</v>
      </c>
      <c r="E660" s="131">
        <f>'[1]Nota II.2.5.g'!E35</f>
        <v>2014460.38</v>
      </c>
      <c r="F660" s="130">
        <f>'[1]Nota II.2.5.g'!F35</f>
        <v>519746.28</v>
      </c>
    </row>
    <row r="661" spans="1:6" ht="13.5" thickBot="1" x14ac:dyDescent="0.3">
      <c r="A661" s="129" t="s">
        <v>176</v>
      </c>
      <c r="B661" s="128"/>
      <c r="C661" s="127">
        <f>C636+C659+C660</f>
        <v>116766617.73</v>
      </c>
      <c r="D661" s="127">
        <f>D636+D659+D660</f>
        <v>34879616.399999999</v>
      </c>
      <c r="E661" s="127">
        <f>E636+E659+E660</f>
        <v>327885933.50999999</v>
      </c>
      <c r="F661" s="126">
        <f>F636+F659+F660</f>
        <v>709239822.66000009</v>
      </c>
    </row>
    <row r="664" spans="1:6" ht="30" customHeight="1" x14ac:dyDescent="0.25">
      <c r="A664" s="125" t="s">
        <v>175</v>
      </c>
      <c r="B664" s="125"/>
      <c r="C664" s="125"/>
      <c r="D664" s="125"/>
      <c r="E664" s="124"/>
      <c r="F664" s="124"/>
    </row>
    <row r="666" spans="1:6" x14ac:dyDescent="0.25">
      <c r="A666" s="123" t="s">
        <v>174</v>
      </c>
      <c r="B666" s="123"/>
      <c r="C666" s="123"/>
      <c r="D666" s="123"/>
    </row>
    <row r="667" spans="1:6" ht="13.5" thickBot="1" x14ac:dyDescent="0.3"/>
    <row r="668" spans="1:6" ht="51.75" thickBot="1" x14ac:dyDescent="0.3">
      <c r="A668" s="122" t="s">
        <v>173</v>
      </c>
      <c r="B668" s="121"/>
      <c r="C668" s="120" t="s">
        <v>172</v>
      </c>
      <c r="D668" s="120" t="s">
        <v>171</v>
      </c>
    </row>
    <row r="669" spans="1:6" ht="13.5" thickBot="1" x14ac:dyDescent="0.3">
      <c r="A669" s="119" t="s">
        <v>170</v>
      </c>
      <c r="B669" s="118"/>
      <c r="C669" s="117">
        <f>'[1]Nota II.3.1'!C26</f>
        <v>9202</v>
      </c>
      <c r="D669" s="116">
        <f>'[1]Nota II.3.1'!D26</f>
        <v>9137</v>
      </c>
    </row>
    <row r="672" spans="1:6" x14ac:dyDescent="0.25">
      <c r="A672" s="112" t="s">
        <v>169</v>
      </c>
      <c r="B672" s="115"/>
      <c r="C672" s="115"/>
      <c r="D672" s="115"/>
      <c r="E672" s="115"/>
    </row>
    <row r="673" spans="1:8" x14ac:dyDescent="0.25">
      <c r="B673" s="110"/>
      <c r="C673" s="110"/>
    </row>
    <row r="674" spans="1:8" x14ac:dyDescent="0.25">
      <c r="A674" s="102" t="s">
        <v>168</v>
      </c>
      <c r="B674" s="110"/>
      <c r="C674" s="110"/>
    </row>
    <row r="675" spans="1:8" ht="25.5" customHeight="1" x14ac:dyDescent="0.25">
      <c r="A675" s="114" t="s">
        <v>167</v>
      </c>
      <c r="B675" s="114"/>
      <c r="C675" s="114"/>
      <c r="D675" s="114"/>
      <c r="E675" s="114"/>
      <c r="F675" s="114"/>
      <c r="G675" s="114"/>
      <c r="H675" s="114"/>
    </row>
    <row r="677" spans="1:8" x14ac:dyDescent="0.25">
      <c r="A677" s="113"/>
    </row>
    <row r="678" spans="1:8" x14ac:dyDescent="0.25">
      <c r="A678" s="112" t="s">
        <v>166</v>
      </c>
      <c r="B678" s="111"/>
      <c r="C678" s="111"/>
      <c r="D678" s="111"/>
      <c r="E678" s="111"/>
    </row>
    <row r="679" spans="1:8" x14ac:dyDescent="0.25">
      <c r="B679" s="110"/>
      <c r="C679" s="110"/>
    </row>
    <row r="680" spans="1:8" x14ac:dyDescent="0.25">
      <c r="A680" s="102" t="s">
        <v>165</v>
      </c>
    </row>
    <row r="689" spans="1:7" x14ac:dyDescent="0.2">
      <c r="A689" s="107"/>
      <c r="B689" s="107"/>
      <c r="C689" s="109"/>
      <c r="D689" s="108"/>
      <c r="E689" s="107"/>
      <c r="F689" s="107"/>
    </row>
    <row r="690" spans="1:7" ht="15" x14ac:dyDescent="0.25">
      <c r="A690" s="104" t="s">
        <v>164</v>
      </c>
      <c r="B690" s="104"/>
      <c r="C690" s="52">
        <v>45425</v>
      </c>
      <c r="D690" s="52"/>
      <c r="E690" s="104"/>
      <c r="F690" s="103" t="s">
        <v>163</v>
      </c>
      <c r="G690" s="103"/>
    </row>
    <row r="691" spans="1:7" x14ac:dyDescent="0.2">
      <c r="A691" s="104" t="s">
        <v>81</v>
      </c>
      <c r="B691" s="106"/>
      <c r="C691" s="103" t="s">
        <v>79</v>
      </c>
      <c r="D691" s="105"/>
      <c r="E691" s="104"/>
      <c r="F691" s="103" t="s">
        <v>82</v>
      </c>
      <c r="G691" s="103"/>
    </row>
  </sheetData>
  <mergeCells count="463">
    <mergeCell ref="C691:D691"/>
    <mergeCell ref="F691:G691"/>
    <mergeCell ref="A666:D666"/>
    <mergeCell ref="A668:B668"/>
    <mergeCell ref="A669:B669"/>
    <mergeCell ref="A675:H675"/>
    <mergeCell ref="C689:D689"/>
    <mergeCell ref="C690:D690"/>
    <mergeCell ref="F690:G690"/>
    <mergeCell ref="A657:B657"/>
    <mergeCell ref="A658:B658"/>
    <mergeCell ref="A659:B659"/>
    <mergeCell ref="A660:B660"/>
    <mergeCell ref="A661:B661"/>
    <mergeCell ref="A664:F664"/>
    <mergeCell ref="A651:B651"/>
    <mergeCell ref="A652:B652"/>
    <mergeCell ref="A653:B653"/>
    <mergeCell ref="A654:B654"/>
    <mergeCell ref="A655:B655"/>
    <mergeCell ref="A656:B656"/>
    <mergeCell ref="A645:B645"/>
    <mergeCell ref="A646:B646"/>
    <mergeCell ref="A647:B647"/>
    <mergeCell ref="A648:B648"/>
    <mergeCell ref="A649:B649"/>
    <mergeCell ref="A650:B650"/>
    <mergeCell ref="A639:B639"/>
    <mergeCell ref="A640:B640"/>
    <mergeCell ref="A641:B641"/>
    <mergeCell ref="A642:B642"/>
    <mergeCell ref="A643:B643"/>
    <mergeCell ref="A644:B644"/>
    <mergeCell ref="A632:F632"/>
    <mergeCell ref="A634:B635"/>
    <mergeCell ref="C634:F634"/>
    <mergeCell ref="A636:B636"/>
    <mergeCell ref="A637:B637"/>
    <mergeCell ref="A638:B638"/>
    <mergeCell ref="A621:D621"/>
    <mergeCell ref="A622:D622"/>
    <mergeCell ref="A623:D623"/>
    <mergeCell ref="A624:D624"/>
    <mergeCell ref="A625:D625"/>
    <mergeCell ref="A626:D626"/>
    <mergeCell ref="A615:D615"/>
    <mergeCell ref="A616:D616"/>
    <mergeCell ref="A617:D617"/>
    <mergeCell ref="A618:D618"/>
    <mergeCell ref="A619:D619"/>
    <mergeCell ref="A620:D620"/>
    <mergeCell ref="A606:D606"/>
    <mergeCell ref="A607:D607"/>
    <mergeCell ref="A608:D608"/>
    <mergeCell ref="A609:D609"/>
    <mergeCell ref="A610:D610"/>
    <mergeCell ref="A613:C613"/>
    <mergeCell ref="A600:D600"/>
    <mergeCell ref="A601:D601"/>
    <mergeCell ref="A602:D602"/>
    <mergeCell ref="A603:D603"/>
    <mergeCell ref="A604:D604"/>
    <mergeCell ref="A605:D605"/>
    <mergeCell ref="A588:D588"/>
    <mergeCell ref="A589:D589"/>
    <mergeCell ref="A590:D590"/>
    <mergeCell ref="A597:D597"/>
    <mergeCell ref="A598:D598"/>
    <mergeCell ref="A599:D599"/>
    <mergeCell ref="A582:D582"/>
    <mergeCell ref="A583:D583"/>
    <mergeCell ref="A584:D584"/>
    <mergeCell ref="A585:D585"/>
    <mergeCell ref="A586:D586"/>
    <mergeCell ref="A587:D587"/>
    <mergeCell ref="A575:D575"/>
    <mergeCell ref="A577:D577"/>
    <mergeCell ref="A578:D578"/>
    <mergeCell ref="A579:D579"/>
    <mergeCell ref="A580:D580"/>
    <mergeCell ref="A581:D581"/>
    <mergeCell ref="A565:D565"/>
    <mergeCell ref="A566:D566"/>
    <mergeCell ref="A567:D567"/>
    <mergeCell ref="A568:D568"/>
    <mergeCell ref="A569:D569"/>
    <mergeCell ref="A570:D570"/>
    <mergeCell ref="A559:D559"/>
    <mergeCell ref="A560:D560"/>
    <mergeCell ref="A561:D561"/>
    <mergeCell ref="A562:D562"/>
    <mergeCell ref="A563:D563"/>
    <mergeCell ref="A564:D564"/>
    <mergeCell ref="A553:D553"/>
    <mergeCell ref="A554:D554"/>
    <mergeCell ref="A555:D555"/>
    <mergeCell ref="A556:D556"/>
    <mergeCell ref="A557:D557"/>
    <mergeCell ref="A558:D558"/>
    <mergeCell ref="A542:B542"/>
    <mergeCell ref="A543:B543"/>
    <mergeCell ref="A544:B544"/>
    <mergeCell ref="A545:B545"/>
    <mergeCell ref="A546:B546"/>
    <mergeCell ref="A551:C551"/>
    <mergeCell ref="A536:B536"/>
    <mergeCell ref="A537:B537"/>
    <mergeCell ref="A538:B538"/>
    <mergeCell ref="A539:B539"/>
    <mergeCell ref="A540:B540"/>
    <mergeCell ref="A541:B541"/>
    <mergeCell ref="A527:D527"/>
    <mergeCell ref="A529:H529"/>
    <mergeCell ref="A532:D532"/>
    <mergeCell ref="A534:B534"/>
    <mergeCell ref="C534:C535"/>
    <mergeCell ref="D534:D535"/>
    <mergeCell ref="A535:B535"/>
    <mergeCell ref="A521:D521"/>
    <mergeCell ref="A522:D522"/>
    <mergeCell ref="A523:D523"/>
    <mergeCell ref="A524:D524"/>
    <mergeCell ref="A525:D525"/>
    <mergeCell ref="A526:D526"/>
    <mergeCell ref="A511:D511"/>
    <mergeCell ref="A512:D512"/>
    <mergeCell ref="A513:D513"/>
    <mergeCell ref="A514:D514"/>
    <mergeCell ref="A518:C518"/>
    <mergeCell ref="A520:D520"/>
    <mergeCell ref="A505:D505"/>
    <mergeCell ref="A506:D506"/>
    <mergeCell ref="A507:D507"/>
    <mergeCell ref="A508:D508"/>
    <mergeCell ref="A509:D509"/>
    <mergeCell ref="A510:D510"/>
    <mergeCell ref="A499:D499"/>
    <mergeCell ref="A500:D500"/>
    <mergeCell ref="A501:D501"/>
    <mergeCell ref="A502:D502"/>
    <mergeCell ref="A503:D503"/>
    <mergeCell ref="A504:D504"/>
    <mergeCell ref="A493:D493"/>
    <mergeCell ref="A494:D494"/>
    <mergeCell ref="A495:D495"/>
    <mergeCell ref="A496:D496"/>
    <mergeCell ref="A497:D497"/>
    <mergeCell ref="A498:D498"/>
    <mergeCell ref="A487:D487"/>
    <mergeCell ref="A488:D488"/>
    <mergeCell ref="A489:D489"/>
    <mergeCell ref="A490:D490"/>
    <mergeCell ref="A491:D491"/>
    <mergeCell ref="A492:D492"/>
    <mergeCell ref="A481:D481"/>
    <mergeCell ref="A482:D482"/>
    <mergeCell ref="A483:D483"/>
    <mergeCell ref="A484:D484"/>
    <mergeCell ref="A485:D485"/>
    <mergeCell ref="A486:D486"/>
    <mergeCell ref="A469:I469"/>
    <mergeCell ref="A475:C475"/>
    <mergeCell ref="A477:D477"/>
    <mergeCell ref="A478:D478"/>
    <mergeCell ref="A479:D479"/>
    <mergeCell ref="A480:D480"/>
    <mergeCell ref="A461:C461"/>
    <mergeCell ref="A462:C462"/>
    <mergeCell ref="A463:C463"/>
    <mergeCell ref="A464:C464"/>
    <mergeCell ref="A465:C465"/>
    <mergeCell ref="A466:C466"/>
    <mergeCell ref="A455:C455"/>
    <mergeCell ref="A456:C456"/>
    <mergeCell ref="A457:C457"/>
    <mergeCell ref="A458:C458"/>
    <mergeCell ref="A459:C459"/>
    <mergeCell ref="A460:C460"/>
    <mergeCell ref="A436:F436"/>
    <mergeCell ref="A438:B438"/>
    <mergeCell ref="A439:B439"/>
    <mergeCell ref="A446:D446"/>
    <mergeCell ref="A447:C447"/>
    <mergeCell ref="A454:C454"/>
    <mergeCell ref="A419:B419"/>
    <mergeCell ref="A420:B420"/>
    <mergeCell ref="A421:B421"/>
    <mergeCell ref="A424:E424"/>
    <mergeCell ref="B429:E429"/>
    <mergeCell ref="C430:E430"/>
    <mergeCell ref="A413:B413"/>
    <mergeCell ref="A414:B414"/>
    <mergeCell ref="A415:B415"/>
    <mergeCell ref="A416:B416"/>
    <mergeCell ref="A417:B417"/>
    <mergeCell ref="A418:B418"/>
    <mergeCell ref="A406:C406"/>
    <mergeCell ref="A408:B408"/>
    <mergeCell ref="A409:B409"/>
    <mergeCell ref="A410:B410"/>
    <mergeCell ref="A411:B411"/>
    <mergeCell ref="A412:B412"/>
    <mergeCell ref="A369:B369"/>
    <mergeCell ref="A370:B370"/>
    <mergeCell ref="A375:E375"/>
    <mergeCell ref="A380:I380"/>
    <mergeCell ref="A382:I382"/>
    <mergeCell ref="A384:A385"/>
    <mergeCell ref="B384:D384"/>
    <mergeCell ref="F384:H384"/>
    <mergeCell ref="A357:B357"/>
    <mergeCell ref="A360:D360"/>
    <mergeCell ref="A362:B362"/>
    <mergeCell ref="A363:B363"/>
    <mergeCell ref="A364:B364"/>
    <mergeCell ref="A367:E367"/>
    <mergeCell ref="A351:B351"/>
    <mergeCell ref="A352:B352"/>
    <mergeCell ref="A353:B353"/>
    <mergeCell ref="A354:B354"/>
    <mergeCell ref="A355:B355"/>
    <mergeCell ref="A356:B356"/>
    <mergeCell ref="A345:B345"/>
    <mergeCell ref="A346:B346"/>
    <mergeCell ref="A347:B347"/>
    <mergeCell ref="A348:B348"/>
    <mergeCell ref="A349:B349"/>
    <mergeCell ref="A350:B350"/>
    <mergeCell ref="A329:B329"/>
    <mergeCell ref="A330:B330"/>
    <mergeCell ref="A331:B331"/>
    <mergeCell ref="A341:E341"/>
    <mergeCell ref="A343:B343"/>
    <mergeCell ref="A344:B344"/>
    <mergeCell ref="A323:B323"/>
    <mergeCell ref="A324:B324"/>
    <mergeCell ref="A325:B325"/>
    <mergeCell ref="A326:B326"/>
    <mergeCell ref="A327:B327"/>
    <mergeCell ref="A328:B328"/>
    <mergeCell ref="A317:B317"/>
    <mergeCell ref="A318:B318"/>
    <mergeCell ref="A319:B319"/>
    <mergeCell ref="A320:B320"/>
    <mergeCell ref="A321:B321"/>
    <mergeCell ref="A322:B322"/>
    <mergeCell ref="A311:B311"/>
    <mergeCell ref="A312:B312"/>
    <mergeCell ref="A313:B313"/>
    <mergeCell ref="A314:B314"/>
    <mergeCell ref="A315:B315"/>
    <mergeCell ref="A316:B316"/>
    <mergeCell ref="A308:B308"/>
    <mergeCell ref="G308:H308"/>
    <mergeCell ref="A309:B309"/>
    <mergeCell ref="G309:H309"/>
    <mergeCell ref="A310:B310"/>
    <mergeCell ref="G310:H310"/>
    <mergeCell ref="A298:B298"/>
    <mergeCell ref="A299:B299"/>
    <mergeCell ref="A300:B300"/>
    <mergeCell ref="A301:B301"/>
    <mergeCell ref="A302:B302"/>
    <mergeCell ref="A306:C306"/>
    <mergeCell ref="A292:B292"/>
    <mergeCell ref="A293:B293"/>
    <mergeCell ref="A294:B294"/>
    <mergeCell ref="A295:B295"/>
    <mergeCell ref="A296:B296"/>
    <mergeCell ref="A297:B297"/>
    <mergeCell ref="A285:B285"/>
    <mergeCell ref="E285:I285"/>
    <mergeCell ref="A286:B286"/>
    <mergeCell ref="E286:I286"/>
    <mergeCell ref="A289:D289"/>
    <mergeCell ref="A291:B291"/>
    <mergeCell ref="A282:B282"/>
    <mergeCell ref="E282:I282"/>
    <mergeCell ref="A283:B283"/>
    <mergeCell ref="E283:I283"/>
    <mergeCell ref="A284:B284"/>
    <mergeCell ref="E284:I284"/>
    <mergeCell ref="A279:B279"/>
    <mergeCell ref="E279:I279"/>
    <mergeCell ref="A280:B280"/>
    <mergeCell ref="E280:I280"/>
    <mergeCell ref="A281:B281"/>
    <mergeCell ref="E281:I281"/>
    <mergeCell ref="A274:I274"/>
    <mergeCell ref="A276:B276"/>
    <mergeCell ref="E276:I276"/>
    <mergeCell ref="A277:B277"/>
    <mergeCell ref="E277:I277"/>
    <mergeCell ref="A278:B278"/>
    <mergeCell ref="E278:I278"/>
    <mergeCell ref="A250:B250"/>
    <mergeCell ref="A251:B251"/>
    <mergeCell ref="A252:B252"/>
    <mergeCell ref="A253:B253"/>
    <mergeCell ref="A256:F256"/>
    <mergeCell ref="A261:E261"/>
    <mergeCell ref="A244:B244"/>
    <mergeCell ref="A245:B245"/>
    <mergeCell ref="A246:B246"/>
    <mergeCell ref="A247:B247"/>
    <mergeCell ref="A248:B248"/>
    <mergeCell ref="A249:B249"/>
    <mergeCell ref="A234:C234"/>
    <mergeCell ref="A238:C238"/>
    <mergeCell ref="A240:B240"/>
    <mergeCell ref="A241:B241"/>
    <mergeCell ref="A242:B242"/>
    <mergeCell ref="A243:B243"/>
    <mergeCell ref="A228:C228"/>
    <mergeCell ref="A229:C229"/>
    <mergeCell ref="A230:C230"/>
    <mergeCell ref="A231:C231"/>
    <mergeCell ref="A232:C232"/>
    <mergeCell ref="A233:C233"/>
    <mergeCell ref="A221:G221"/>
    <mergeCell ref="A223:C223"/>
    <mergeCell ref="A224:C224"/>
    <mergeCell ref="A225:C225"/>
    <mergeCell ref="A226:C226"/>
    <mergeCell ref="A227:C227"/>
    <mergeCell ref="B212:D212"/>
    <mergeCell ref="B213:D213"/>
    <mergeCell ref="B214:D214"/>
    <mergeCell ref="B215:D215"/>
    <mergeCell ref="B216:D216"/>
    <mergeCell ref="A217:D217"/>
    <mergeCell ref="A202:B202"/>
    <mergeCell ref="A203:B203"/>
    <mergeCell ref="A208:I208"/>
    <mergeCell ref="A210:D211"/>
    <mergeCell ref="E210:E211"/>
    <mergeCell ref="F210:H210"/>
    <mergeCell ref="I210:I211"/>
    <mergeCell ref="A196:B196"/>
    <mergeCell ref="A197:B197"/>
    <mergeCell ref="A198:B198"/>
    <mergeCell ref="A199:B199"/>
    <mergeCell ref="A200:B200"/>
    <mergeCell ref="A201:B201"/>
    <mergeCell ref="A190:B190"/>
    <mergeCell ref="A191:B191"/>
    <mergeCell ref="A192:B192"/>
    <mergeCell ref="A193:B193"/>
    <mergeCell ref="A194:B194"/>
    <mergeCell ref="A195:B195"/>
    <mergeCell ref="A184:B184"/>
    <mergeCell ref="A185:B185"/>
    <mergeCell ref="A186:B186"/>
    <mergeCell ref="A187:B187"/>
    <mergeCell ref="A188:B188"/>
    <mergeCell ref="A189:B189"/>
    <mergeCell ref="A178:B178"/>
    <mergeCell ref="A179:B179"/>
    <mergeCell ref="A180:B180"/>
    <mergeCell ref="A181:B181"/>
    <mergeCell ref="A182:B182"/>
    <mergeCell ref="A183:B183"/>
    <mergeCell ref="A171:I171"/>
    <mergeCell ref="A173:I173"/>
    <mergeCell ref="A174:I174"/>
    <mergeCell ref="A175:B175"/>
    <mergeCell ref="A176:B176"/>
    <mergeCell ref="A177:B177"/>
    <mergeCell ref="A165:B165"/>
    <mergeCell ref="A166:B166"/>
    <mergeCell ref="A167:B167"/>
    <mergeCell ref="A168:B168"/>
    <mergeCell ref="A169:B169"/>
    <mergeCell ref="A170:B170"/>
    <mergeCell ref="A159:B159"/>
    <mergeCell ref="A160:B160"/>
    <mergeCell ref="A161:B161"/>
    <mergeCell ref="A162:B162"/>
    <mergeCell ref="A163:B163"/>
    <mergeCell ref="A164:B164"/>
    <mergeCell ref="A153:B153"/>
    <mergeCell ref="A154:B154"/>
    <mergeCell ref="A155:B155"/>
    <mergeCell ref="A156:B156"/>
    <mergeCell ref="A157:B157"/>
    <mergeCell ref="A158:B158"/>
    <mergeCell ref="A147:B147"/>
    <mergeCell ref="A148:B148"/>
    <mergeCell ref="A149:B149"/>
    <mergeCell ref="A150:B150"/>
    <mergeCell ref="A151:B151"/>
    <mergeCell ref="A152:B152"/>
    <mergeCell ref="A140:I140"/>
    <mergeCell ref="A142:B142"/>
    <mergeCell ref="A143:B143"/>
    <mergeCell ref="A144:B144"/>
    <mergeCell ref="A145:B145"/>
    <mergeCell ref="A146:B146"/>
    <mergeCell ref="A130:B130"/>
    <mergeCell ref="A131:B131"/>
    <mergeCell ref="A132:B132"/>
    <mergeCell ref="A133:B133"/>
    <mergeCell ref="A134:B134"/>
    <mergeCell ref="A135:B135"/>
    <mergeCell ref="A117:C117"/>
    <mergeCell ref="A118:C118"/>
    <mergeCell ref="A126:D126"/>
    <mergeCell ref="A127:C127"/>
    <mergeCell ref="A128:B128"/>
    <mergeCell ref="A129:B129"/>
    <mergeCell ref="A101:G101"/>
    <mergeCell ref="A102:C102"/>
    <mergeCell ref="A107:G107"/>
    <mergeCell ref="A108:C108"/>
    <mergeCell ref="A109:A110"/>
    <mergeCell ref="B109:F109"/>
    <mergeCell ref="G109:I109"/>
    <mergeCell ref="A66:B66"/>
    <mergeCell ref="A67:C67"/>
    <mergeCell ref="A68:B68"/>
    <mergeCell ref="A69:B69"/>
    <mergeCell ref="A76:E76"/>
    <mergeCell ref="A94:E94"/>
    <mergeCell ref="A60:B60"/>
    <mergeCell ref="A61:B61"/>
    <mergeCell ref="A62:C62"/>
    <mergeCell ref="A63:B63"/>
    <mergeCell ref="A64:B64"/>
    <mergeCell ref="A65:B65"/>
    <mergeCell ref="A54:B54"/>
    <mergeCell ref="A55:B55"/>
    <mergeCell ref="A56:B56"/>
    <mergeCell ref="A57:B57"/>
    <mergeCell ref="A58:B58"/>
    <mergeCell ref="A59:B59"/>
    <mergeCell ref="A48:B48"/>
    <mergeCell ref="A49:B49"/>
    <mergeCell ref="A50:B50"/>
    <mergeCell ref="A51:B51"/>
    <mergeCell ref="A52:B52"/>
    <mergeCell ref="A53:C53"/>
    <mergeCell ref="A33:I33"/>
    <mergeCell ref="A41:C43"/>
    <mergeCell ref="A44:C44"/>
    <mergeCell ref="A45:B45"/>
    <mergeCell ref="A46:B46"/>
    <mergeCell ref="A47:B47"/>
    <mergeCell ref="G6:G7"/>
    <mergeCell ref="H6:H7"/>
    <mergeCell ref="I6:I7"/>
    <mergeCell ref="A8:I8"/>
    <mergeCell ref="A18:I18"/>
    <mergeCell ref="A28:I28"/>
    <mergeCell ref="D2:E2"/>
    <mergeCell ref="A3:I3"/>
    <mergeCell ref="A4:I4"/>
    <mergeCell ref="B5:G5"/>
    <mergeCell ref="A6:A7"/>
    <mergeCell ref="B6:B7"/>
    <mergeCell ref="C6:C7"/>
    <mergeCell ref="D6:D7"/>
    <mergeCell ref="E6:E7"/>
    <mergeCell ref="F6:F7"/>
  </mergeCells>
  <pageMargins left="0.11811023622047245" right="0.11811023622047245" top="0.74803149606299213" bottom="0.74803149606299213" header="0.31496062992125984" footer="0.31496062992125984"/>
  <pageSetup paperSize="9" scale="85" firstPageNumber="15" orientation="landscape" useFirstPageNumber="1" r:id="rId1"/>
  <headerFooter>
    <oddHeader>&amp;C&amp;"-,Pogrubiony"Urząd m.st. Warszawy
&amp;"-,Standardowy"Informacja dodatkowa do sprawozdania finansowego za rok obrotowy zakończony 31 grudnia 2023 r.
II. Dodatkowe informacje i objaśnienia
Korekta 1</oddHeader>
    <oddFooter>&amp;R&amp;P</oddFooter>
  </headerFooter>
  <rowBreaks count="20" manualBreakCount="20">
    <brk id="35" max="16383" man="1"/>
    <brk id="73" max="16383" man="1"/>
    <brk id="98" max="16383" man="1"/>
    <brk id="122" max="16383" man="1"/>
    <brk id="137" max="16383" man="1"/>
    <brk id="171" max="16383" man="1"/>
    <brk id="235" max="16383" man="1"/>
    <brk id="271" max="16383" man="1"/>
    <brk id="302" max="16383" man="1"/>
    <brk id="338" max="16383" man="1"/>
    <brk id="377" max="16383" man="1"/>
    <brk id="403" max="16383" man="1"/>
    <brk id="438" max="16383" man="1"/>
    <brk id="471" max="16383" man="1"/>
    <brk id="515" max="16383" man="1"/>
    <brk id="548" max="16383" man="1"/>
    <brk id="572" max="16383" man="1"/>
    <brk id="592" max="16383" man="1"/>
    <brk id="629" max="16383" man="1"/>
    <brk id="6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33" sqref="M3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3</vt:i4>
      </vt:variant>
    </vt:vector>
  </HeadingPairs>
  <TitlesOfParts>
    <vt:vector size="8" baseType="lpstr">
      <vt:lpstr>Bilans 31.12.2023</vt:lpstr>
      <vt:lpstr>RZiS 31.12.2023</vt:lpstr>
      <vt:lpstr>ZZwFJ 31.12.2023</vt:lpstr>
      <vt:lpstr>II.Dodatk_info</vt:lpstr>
      <vt:lpstr>Arkusz1</vt:lpstr>
      <vt:lpstr>'Bilans 31.12.2023'!Obszar_wydruku</vt:lpstr>
      <vt:lpstr>'RZiS 31.12.2023'!Obszar_wydruku</vt:lpstr>
      <vt:lpstr>'ZZwFJ 31.12.2023'!Obszar_wydruku</vt:lpstr>
    </vt:vector>
  </TitlesOfParts>
  <Company>Urzad Miasta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Czapska Agata</dc:creator>
  <cp:lastModifiedBy>Czapska Agata</cp:lastModifiedBy>
  <dcterms:created xsi:type="dcterms:W3CDTF">2024-05-24T09:19:06Z</dcterms:created>
  <dcterms:modified xsi:type="dcterms:W3CDTF">2024-05-24T09:35:54Z</dcterms:modified>
</cp:coreProperties>
</file>