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W:\Audyt 2023\1 - BILANS\1-BIP\"/>
    </mc:Choice>
  </mc:AlternateContent>
  <bookViews>
    <workbookView xWindow="-105" yWindow="-105" windowWidth="19425" windowHeight="10560" tabRatio="694" firstSheet="1" activeTab="3"/>
  </bookViews>
  <sheets>
    <sheet name="Bilans" sheetId="73" r:id="rId1"/>
    <sheet name="RZiS" sheetId="74" r:id="rId2"/>
    <sheet name="Fundusz" sheetId="75" r:id="rId3"/>
    <sheet name="Załącznik 21" sheetId="67" r:id="rId4"/>
    <sheet name="BExRepositorySheet" sheetId="2" state="veryHidden" r:id="rId5"/>
  </sheets>
  <definedNames>
    <definedName name="_xlnm.Print_Area" localSheetId="0">Bilans!$A$2:$F$56</definedName>
  </definedName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7" i="67" l="1"/>
  <c r="K32" i="75"/>
  <c r="K46" i="74" l="1"/>
  <c r="F606" i="67"/>
  <c r="G27" i="67" l="1"/>
  <c r="D23" i="67"/>
  <c r="I23" i="67" s="1"/>
  <c r="E23" i="67"/>
  <c r="F591" i="67" l="1"/>
  <c r="F605" i="67" l="1"/>
  <c r="K40" i="74"/>
  <c r="K42" i="74"/>
  <c r="F588" i="67"/>
  <c r="F592" i="67"/>
  <c r="D428" i="67"/>
  <c r="F578" i="67"/>
  <c r="F568" i="67"/>
  <c r="K50" i="74"/>
  <c r="K39" i="74"/>
  <c r="F586" i="67" l="1"/>
  <c r="K48" i="74"/>
  <c r="K44" i="74"/>
  <c r="K37" i="75" l="1"/>
  <c r="C42" i="73" l="1"/>
  <c r="C46" i="73"/>
  <c r="K28" i="75" l="1"/>
  <c r="H14" i="67" l="1"/>
  <c r="C23" i="73"/>
  <c r="H177" i="67" l="1"/>
  <c r="F177" i="67"/>
  <c r="D423" i="67"/>
  <c r="K18" i="75" l="1"/>
  <c r="F26" i="73"/>
  <c r="F30" i="73"/>
  <c r="C48" i="73"/>
  <c r="C39" i="73"/>
  <c r="K16" i="75" l="1"/>
  <c r="D645" i="67"/>
  <c r="C645" i="67"/>
  <c r="D644" i="67"/>
  <c r="D424" i="67"/>
  <c r="D422" i="67" s="1"/>
  <c r="D376" i="67"/>
  <c r="C376" i="67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F200" i="67"/>
  <c r="G200" i="67" s="1"/>
  <c r="G199" i="67"/>
  <c r="G198" i="67"/>
  <c r="F198" i="67"/>
  <c r="E197" i="67"/>
  <c r="E218" i="67" s="1"/>
  <c r="D197" i="67"/>
  <c r="D218" i="67" s="1"/>
  <c r="C197" i="67"/>
  <c r="C218" i="67" s="1"/>
  <c r="C122" i="67"/>
  <c r="B122" i="67"/>
  <c r="C116" i="67"/>
  <c r="H36" i="67"/>
  <c r="G36" i="67"/>
  <c r="F36" i="67"/>
  <c r="E36" i="67"/>
  <c r="C36" i="67"/>
  <c r="H34" i="67"/>
  <c r="G34" i="67"/>
  <c r="F34" i="67"/>
  <c r="E34" i="67"/>
  <c r="D34" i="67"/>
  <c r="C34" i="67"/>
  <c r="B34" i="67"/>
  <c r="I33" i="67"/>
  <c r="I32" i="67"/>
  <c r="I31" i="67"/>
  <c r="I28" i="67"/>
  <c r="E27" i="67"/>
  <c r="I27" i="67" s="1"/>
  <c r="I26" i="67" s="1"/>
  <c r="H26" i="67"/>
  <c r="H29" i="67" s="1"/>
  <c r="G26" i="67"/>
  <c r="F26" i="67"/>
  <c r="E26" i="67"/>
  <c r="D26" i="67"/>
  <c r="C26" i="67"/>
  <c r="I25" i="67"/>
  <c r="I24" i="67"/>
  <c r="E22" i="67"/>
  <c r="D22" i="67"/>
  <c r="G22" i="67"/>
  <c r="F22" i="67"/>
  <c r="C22" i="67"/>
  <c r="C29" i="67" s="1"/>
  <c r="D21" i="67"/>
  <c r="B21" i="67"/>
  <c r="I21" i="67" s="1"/>
  <c r="I18" i="67"/>
  <c r="C18" i="67"/>
  <c r="C16" i="67" s="1"/>
  <c r="C19" i="67" s="1"/>
  <c r="C37" i="67" s="1"/>
  <c r="G17" i="67"/>
  <c r="G16" i="67" s="1"/>
  <c r="E17" i="67"/>
  <c r="E16" i="67" s="1"/>
  <c r="H16" i="67"/>
  <c r="F16" i="67"/>
  <c r="D16" i="67"/>
  <c r="B16" i="67"/>
  <c r="I15" i="67"/>
  <c r="D14" i="67"/>
  <c r="I14" i="67" s="1"/>
  <c r="G13" i="67"/>
  <c r="D13" i="67"/>
  <c r="I13" i="67" s="1"/>
  <c r="H12" i="67"/>
  <c r="H19" i="67" s="1"/>
  <c r="G12" i="67"/>
  <c r="F12" i="67"/>
  <c r="E12" i="67"/>
  <c r="D12" i="67"/>
  <c r="D11" i="67"/>
  <c r="B11" i="67"/>
  <c r="K36" i="74"/>
  <c r="K31" i="74"/>
  <c r="K24" i="74" s="1"/>
  <c r="K16" i="74"/>
  <c r="F37" i="73"/>
  <c r="F31" i="73"/>
  <c r="F25" i="73" s="1"/>
  <c r="C40" i="73"/>
  <c r="C33" i="73"/>
  <c r="C26" i="73"/>
  <c r="C22" i="73"/>
  <c r="C21" i="73"/>
  <c r="C20" i="73"/>
  <c r="C19" i="73"/>
  <c r="C18" i="73"/>
  <c r="C17" i="73"/>
  <c r="C14" i="73"/>
  <c r="I11" i="67" l="1"/>
  <c r="G19" i="67"/>
  <c r="I34" i="67"/>
  <c r="G29" i="67"/>
  <c r="G37" i="67" s="1"/>
  <c r="I22" i="67"/>
  <c r="I29" i="67" s="1"/>
  <c r="K27" i="75"/>
  <c r="B36" i="67"/>
  <c r="E29" i="67"/>
  <c r="F19" i="67"/>
  <c r="D29" i="67"/>
  <c r="B22" i="67"/>
  <c r="B29" i="67" s="1"/>
  <c r="C38" i="73"/>
  <c r="D19" i="67"/>
  <c r="D37" i="67" s="1"/>
  <c r="F197" i="67"/>
  <c r="F218" i="67" s="1"/>
  <c r="C16" i="73"/>
  <c r="C15" i="73" s="1"/>
  <c r="C13" i="73" s="1"/>
  <c r="E19" i="67"/>
  <c r="F29" i="67"/>
  <c r="C44" i="73"/>
  <c r="F23" i="73"/>
  <c r="I12" i="67"/>
  <c r="K35" i="74"/>
  <c r="K43" i="74" s="1"/>
  <c r="G197" i="67"/>
  <c r="I36" i="67"/>
  <c r="H37" i="67"/>
  <c r="B19" i="67"/>
  <c r="I17" i="67"/>
  <c r="I16" i="67" s="1"/>
  <c r="D36" i="67"/>
  <c r="F512" i="67"/>
  <c r="I19" i="67" l="1"/>
  <c r="E37" i="67"/>
  <c r="F37" i="67"/>
  <c r="C32" i="73"/>
  <c r="K51" i="74"/>
  <c r="B37" i="67"/>
  <c r="I37" i="67"/>
  <c r="D421" i="67"/>
  <c r="C421" i="67"/>
  <c r="D365" i="67"/>
  <c r="C365" i="67"/>
  <c r="D357" i="67"/>
  <c r="C357" i="67"/>
  <c r="K54" i="74" l="1"/>
  <c r="F17" i="73" s="1"/>
  <c r="F15" i="73" s="1"/>
  <c r="K41" i="75" l="1"/>
  <c r="K39" i="75" s="1"/>
  <c r="E631" i="67" l="1"/>
  <c r="E628" i="67"/>
  <c r="E611" i="67"/>
  <c r="E606" i="67" s="1"/>
  <c r="E605" i="67" s="1"/>
  <c r="E591" i="67"/>
  <c r="E597" i="67"/>
  <c r="E594" i="67"/>
  <c r="E578" i="67"/>
  <c r="E575" i="67"/>
  <c r="E574" i="67"/>
  <c r="C338" i="67"/>
  <c r="E608" i="67" l="1"/>
  <c r="I37" i="75"/>
  <c r="I32" i="75"/>
  <c r="I26" i="75"/>
  <c r="I24" i="75"/>
  <c r="I22" i="75"/>
  <c r="I33" i="74"/>
  <c r="I31" i="74" s="1"/>
  <c r="E38" i="73"/>
  <c r="E32" i="73"/>
  <c r="E31" i="73"/>
  <c r="E30" i="73"/>
  <c r="E28" i="73"/>
  <c r="E27" i="73"/>
  <c r="E26" i="73"/>
  <c r="B48" i="73"/>
  <c r="B46" i="73"/>
  <c r="B42" i="73"/>
  <c r="B40" i="73"/>
  <c r="B39" i="73"/>
  <c r="B23" i="73"/>
  <c r="B22" i="73"/>
  <c r="B21" i="73"/>
  <c r="B20" i="73"/>
  <c r="B19" i="73"/>
  <c r="B18" i="73"/>
  <c r="B17" i="73"/>
  <c r="D557" i="67" l="1"/>
  <c r="C557" i="67"/>
  <c r="E592" i="67" l="1"/>
  <c r="E588" i="67"/>
  <c r="F563" i="67"/>
  <c r="E563" i="67"/>
  <c r="D430" i="67" l="1"/>
  <c r="E568" i="67"/>
  <c r="F579" i="67"/>
  <c r="E586" i="67"/>
  <c r="E598" i="67" s="1"/>
  <c r="G196" i="67" l="1"/>
  <c r="G195" i="67"/>
  <c r="G194" i="67"/>
  <c r="G193" i="67"/>
  <c r="G192" i="67"/>
  <c r="G191" i="67"/>
  <c r="G190" i="67"/>
  <c r="G189" i="67"/>
  <c r="G188" i="67"/>
  <c r="F498" i="67"/>
  <c r="G218" i="67" l="1"/>
  <c r="E512" i="67"/>
  <c r="F526" i="67"/>
  <c r="F511" i="67" s="1"/>
  <c r="F523" i="67"/>
  <c r="F520" i="67"/>
  <c r="E523" i="67"/>
  <c r="E520" i="67"/>
  <c r="E498" i="67"/>
  <c r="E526" i="67" l="1"/>
  <c r="E511" i="67" s="1"/>
  <c r="E541" i="67" s="1"/>
  <c r="F541" i="67"/>
  <c r="D643" i="67" l="1"/>
  <c r="I177" i="67" l="1"/>
  <c r="D95" i="67"/>
  <c r="C95" i="67"/>
  <c r="B95" i="67"/>
  <c r="D93" i="67"/>
  <c r="C93" i="67"/>
  <c r="B93" i="67"/>
  <c r="E92" i="67"/>
  <c r="E91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C67" i="67"/>
  <c r="C65" i="67"/>
  <c r="E81" i="67" l="1"/>
  <c r="C88" i="67"/>
  <c r="C96" i="67" s="1"/>
  <c r="B88" i="67"/>
  <c r="B96" i="67" s="1"/>
  <c r="E84" i="67"/>
  <c r="D88" i="67"/>
  <c r="D96" i="67" s="1"/>
  <c r="E93" i="67"/>
  <c r="E95" i="67"/>
  <c r="C68" i="67" l="1"/>
  <c r="E88" i="67"/>
  <c r="E96" i="67" s="1"/>
  <c r="I27" i="75" l="1"/>
  <c r="I16" i="75"/>
  <c r="I48" i="74"/>
  <c r="I44" i="74"/>
  <c r="I40" i="74"/>
  <c r="I36" i="74"/>
  <c r="I24" i="74"/>
  <c r="I16" i="74"/>
  <c r="I35" i="74" l="1"/>
  <c r="I38" i="75"/>
  <c r="I43" i="74"/>
  <c r="I51" i="74" s="1"/>
  <c r="I54" i="74" s="1"/>
  <c r="I41" i="75" s="1"/>
  <c r="I39" i="75" s="1"/>
  <c r="E37" i="73"/>
  <c r="E25" i="73"/>
  <c r="E23" i="73" s="1"/>
  <c r="B44" i="73"/>
  <c r="B38" i="73"/>
  <c r="B33" i="73"/>
  <c r="B26" i="73"/>
  <c r="B16" i="73"/>
  <c r="B14" i="73"/>
  <c r="I43" i="75" l="1"/>
  <c r="K15" i="75"/>
  <c r="K38" i="75" s="1"/>
  <c r="E14" i="73"/>
  <c r="E13" i="73" s="1"/>
  <c r="E17" i="73"/>
  <c r="E15" i="73" s="1"/>
  <c r="B15" i="73"/>
  <c r="B13" i="73" s="1"/>
  <c r="B32" i="73"/>
  <c r="F14" i="73" l="1"/>
  <c r="F13" i="73" s="1"/>
  <c r="B53" i="73"/>
  <c r="B456" i="67" l="1"/>
  <c r="C456" i="67"/>
  <c r="B461" i="67"/>
  <c r="C461" i="67"/>
  <c r="B467" i="67"/>
  <c r="B473" i="67"/>
  <c r="C473" i="67"/>
  <c r="F644" i="67"/>
  <c r="C643" i="67"/>
  <c r="C455" i="67" l="1"/>
  <c r="B455" i="67"/>
  <c r="C466" i="67"/>
  <c r="B466" i="67"/>
  <c r="I179" i="67" l="1"/>
  <c r="I178" i="67"/>
  <c r="J37" i="75" l="1"/>
  <c r="J27" i="75"/>
  <c r="J16" i="75"/>
  <c r="J53" i="74"/>
  <c r="J47" i="74"/>
  <c r="J43" i="74"/>
  <c r="J39" i="74"/>
  <c r="J35" i="74"/>
  <c r="J24" i="74"/>
  <c r="J34" i="74" s="1"/>
  <c r="J16" i="74"/>
  <c r="E53" i="73"/>
  <c r="J36" i="75" l="1"/>
  <c r="J41" i="75" s="1"/>
  <c r="J42" i="74"/>
  <c r="J50" i="74" s="1"/>
  <c r="K43" i="75"/>
  <c r="C53" i="73"/>
  <c r="F53" i="73" l="1"/>
  <c r="C411" i="67" l="1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F608" i="67"/>
  <c r="F616" i="67" s="1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F116" i="67"/>
  <c r="G116" i="67"/>
  <c r="H116" i="67"/>
  <c r="I116" i="67"/>
  <c r="F643" i="67"/>
  <c r="F649" i="67" s="1"/>
  <c r="E643" i="67"/>
  <c r="E649" i="67" s="1"/>
  <c r="D649" i="67"/>
  <c r="C649" i="67"/>
  <c r="F625" i="67"/>
  <c r="E625" i="67"/>
  <c r="F622" i="67"/>
  <c r="E622" i="67"/>
  <c r="F598" i="67"/>
  <c r="C430" i="67"/>
  <c r="D401" i="67"/>
  <c r="C401" i="67"/>
  <c r="B401" i="67"/>
  <c r="D397" i="67"/>
  <c r="C397" i="67"/>
  <c r="B397" i="67"/>
  <c r="E116" i="67"/>
  <c r="D116" i="67"/>
  <c r="B116" i="67"/>
  <c r="D377" i="67"/>
  <c r="C377" i="67"/>
  <c r="C244" i="67"/>
  <c r="D244" i="67"/>
  <c r="C228" i="67"/>
  <c r="D228" i="67"/>
  <c r="C232" i="67"/>
  <c r="D232" i="67"/>
  <c r="D370" i="67"/>
  <c r="C327" i="67"/>
  <c r="D327" i="67"/>
  <c r="D338" i="67"/>
  <c r="D297" i="67"/>
  <c r="D318" i="67" s="1"/>
  <c r="C297" i="67"/>
  <c r="C318" i="67" s="1"/>
  <c r="H180" i="67"/>
  <c r="G180" i="67"/>
  <c r="F180" i="67"/>
  <c r="E180" i="67"/>
  <c r="I176" i="67"/>
  <c r="I175" i="67"/>
  <c r="I180" i="67" s="1"/>
  <c r="G168" i="67"/>
  <c r="F168" i="67"/>
  <c r="E168" i="67"/>
  <c r="G161" i="67"/>
  <c r="F161" i="67"/>
  <c r="E161" i="67"/>
  <c r="C370" i="67"/>
  <c r="I410" i="67" l="1"/>
  <c r="I397" i="67"/>
  <c r="C349" i="67"/>
  <c r="F406" i="67"/>
  <c r="F412" i="67" s="1"/>
  <c r="G406" i="67"/>
  <c r="G412" i="67" s="1"/>
  <c r="D406" i="67"/>
  <c r="D412" i="67" s="1"/>
  <c r="C406" i="67"/>
  <c r="C412" i="67" s="1"/>
  <c r="H406" i="67"/>
  <c r="H412" i="67" s="1"/>
  <c r="I401" i="67"/>
  <c r="D236" i="67"/>
  <c r="D349" i="67"/>
  <c r="C236" i="67"/>
  <c r="B406" i="67"/>
  <c r="B412" i="67" s="1"/>
  <c r="F632" i="67"/>
  <c r="E632" i="67"/>
  <c r="E406" i="67"/>
  <c r="E412" i="67" s="1"/>
  <c r="I411" i="67"/>
  <c r="E616" i="67"/>
  <c r="E579" i="67"/>
  <c r="I406" i="67" l="1"/>
  <c r="I412" i="67" s="1"/>
</calcChain>
</file>

<file path=xl/comments1.xml><?xml version="1.0" encoding="utf-8"?>
<comments xmlns="http://schemas.openxmlformats.org/spreadsheetml/2006/main">
  <authors>
    <author>Wysocka Marta</author>
  </authors>
  <commentList>
    <comment ref="G14" authorId="0" shapeId="0">
      <text>
        <r>
          <rPr>
            <b/>
            <sz val="9"/>
            <color indexed="81"/>
            <rFont val="Tahoma"/>
            <family val="2"/>
            <charset val="238"/>
          </rPr>
          <t>Wysocka Marta:</t>
        </r>
        <r>
          <rPr>
            <sz val="9"/>
            <color indexed="81"/>
            <rFont val="Tahoma"/>
            <family val="2"/>
            <charset val="238"/>
          </rPr>
          <t xml:space="preserve">
otrzymane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38"/>
          </rPr>
          <t>Wysocka Marta:</t>
        </r>
        <r>
          <rPr>
            <sz val="9"/>
            <color indexed="81"/>
            <rFont val="Tahoma"/>
            <family val="2"/>
            <charset val="238"/>
          </rPr>
          <t xml:space="preserve">
sprzedaż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38"/>
          </rPr>
          <t>Wysocka Marta:</t>
        </r>
        <r>
          <rPr>
            <sz val="9"/>
            <color indexed="81"/>
            <rFont val="Tahoma"/>
            <family val="2"/>
            <charset val="238"/>
          </rPr>
          <t xml:space="preserve">
przekazanie</t>
        </r>
      </text>
    </comment>
  </commentList>
</comments>
</file>

<file path=xl/sharedStrings.xml><?xml version="1.0" encoding="utf-8"?>
<sst xmlns="http://schemas.openxmlformats.org/spreadsheetml/2006/main" count="897" uniqueCount="624">
  <si>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</si>
  <si>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</si>
  <si>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</si>
  <si>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</si>
  <si>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</si>
  <si>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</si>
  <si>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</si>
  <si>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</si>
  <si>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</si>
  <si>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</si>
  <si>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</si>
  <si>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</si>
  <si>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</si>
  <si>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</si>
  <si>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</si>
  <si>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</si>
  <si>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</si>
  <si>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</si>
  <si>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</si>
  <si>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</si>
  <si>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</si>
  <si>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</si>
  <si>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</si>
  <si>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</si>
  <si>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</si>
  <si>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</si>
  <si>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</si>
  <si>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</si>
  <si>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</si>
  <si>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</si>
  <si>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</si>
  <si>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</si>
  <si>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</si>
  <si>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</si>
  <si>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</si>
  <si>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</si>
  <si>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</si>
  <si>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</si>
  <si>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</si>
  <si>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</si>
  <si>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</si>
  <si>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</si>
  <si>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</si>
  <si>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</si>
  <si>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</si>
  <si>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</si>
  <si>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</si>
  <si>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</si>
  <si>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</si>
  <si>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</si>
  <si>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</si>
  <si>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</si>
  <si>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</si>
  <si>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</si>
  <si>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</si>
  <si>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</si>
  <si>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</si>
  <si>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</si>
  <si>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</si>
  <si>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</si>
  <si>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</si>
  <si>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</si>
  <si>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</si>
  <si>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</si>
  <si>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</si>
  <si>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</si>
  <si>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</si>
  <si>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</si>
  <si>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</si>
  <si>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</si>
  <si>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</si>
  <si>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</si>
  <si>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</si>
  <si>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</si>
  <si>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</si>
  <si>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</si>
  <si>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</si>
  <si>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</si>
  <si>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</si>
  <si>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</si>
  <si>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</si>
  <si>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</si>
  <si>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</si>
  <si>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</si>
  <si>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</si>
  <si>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</si>
  <si>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</si>
  <si>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</si>
  <si>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</si>
  <si>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</si>
  <si>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</si>
  <si>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</si>
  <si>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</si>
  <si>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</si>
  <si>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</si>
  <si>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</si>
  <si>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</si>
  <si>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</si>
  <si>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</si>
  <si>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</si>
  <si>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</si>
  <si>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</si>
  <si>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</si>
  <si>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</si>
  <si>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</si>
  <si>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</si>
  <si>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</si>
  <si>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</si>
  <si>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</si>
  <si>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</si>
  <si>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</si>
  <si>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</si>
  <si>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</si>
  <si>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</si>
  <si>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</si>
  <si>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</si>
  <si>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</si>
  <si>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</si>
  <si>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</si>
  <si>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</si>
  <si>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</si>
  <si>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</si>
  <si>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</si>
  <si>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</si>
  <si>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</si>
  <si>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</si>
  <si>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</si>
  <si>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</si>
  <si>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</si>
  <si>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</si>
  <si>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</si>
  <si>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</si>
  <si>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</si>
  <si>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</si>
  <si>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</si>
  <si>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</si>
  <si>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I.</t>
  </si>
  <si>
    <t>w tym:</t>
  </si>
  <si>
    <t>6.</t>
  </si>
  <si>
    <t>7.</t>
  </si>
  <si>
    <t>II.</t>
  </si>
  <si>
    <t>AKTYWA</t>
  </si>
  <si>
    <t>Razem:</t>
  </si>
  <si>
    <t>PASYWA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</si>
  <si>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</si>
  <si>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</si>
  <si>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</si>
  <si>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</si>
  <si>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</si>
  <si>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</si>
  <si>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</si>
  <si>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</si>
  <si>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</si>
  <si>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IX.</t>
  </si>
  <si>
    <t>Inne świadczenia finansowane z budżetu</t>
  </si>
  <si>
    <t>Odsetki</t>
  </si>
  <si>
    <t>Razem</t>
  </si>
  <si>
    <t>Należności długoterminowe</t>
  </si>
  <si>
    <t>A.</t>
  </si>
  <si>
    <t>Przychody netto z podstawowej działalności operacyjnej</t>
  </si>
  <si>
    <t>Przychody netto ze sprzedaży produktów</t>
  </si>
  <si>
    <t>IV.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</si>
  <si>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</si>
  <si>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</si>
  <si>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</si>
  <si>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</si>
  <si>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</si>
  <si>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</si>
  <si>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</si>
  <si>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</si>
  <si>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</si>
  <si>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</si>
  <si>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</si>
  <si>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</si>
  <si>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</si>
  <si>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</si>
  <si>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</si>
  <si>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</si>
  <si>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</si>
  <si>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</si>
  <si>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</si>
  <si>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</si>
  <si>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</si>
  <si>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</si>
  <si>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Koszty finansowe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</si>
  <si>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</si>
  <si>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</si>
  <si>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</si>
  <si>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</si>
  <si>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</si>
  <si>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</si>
  <si>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</si>
  <si>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</si>
  <si>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</si>
  <si>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</si>
  <si>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</si>
  <si>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</si>
  <si>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</si>
  <si>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</si>
  <si>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</si>
  <si>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</si>
  <si>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</si>
  <si>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</si>
  <si>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</si>
  <si>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</si>
  <si>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</si>
  <si>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</si>
  <si>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</si>
  <si>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</si>
  <si>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</si>
  <si>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</si>
  <si>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</si>
  <si>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</si>
  <si>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</si>
  <si>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</si>
  <si>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</si>
  <si>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</si>
  <si>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</si>
  <si>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</si>
  <si>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</si>
  <si>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</si>
  <si>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</si>
  <si>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</si>
  <si>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</si>
  <si>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</si>
  <si>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</si>
  <si>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</si>
  <si>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</si>
  <si>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</si>
  <si>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</si>
  <si>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</si>
  <si>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</si>
  <si>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</si>
  <si>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</si>
  <si>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</si>
  <si>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</si>
  <si>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</si>
  <si>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</si>
  <si>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</si>
  <si>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</si>
  <si>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</si>
  <si>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</si>
  <si>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</si>
  <si>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</si>
  <si>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</si>
  <si>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</si>
  <si>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</si>
  <si>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</si>
  <si>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</si>
  <si>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</si>
  <si>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</si>
  <si>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</si>
  <si>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</si>
  <si>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</si>
  <si>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</si>
  <si>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</si>
  <si>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</si>
  <si>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</si>
  <si>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</si>
  <si>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</si>
  <si>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</si>
  <si>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</si>
  <si>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</si>
  <si>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</si>
  <si>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</si>
  <si>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</si>
  <si>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</si>
  <si>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</si>
  <si>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</si>
  <si>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</si>
  <si>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</si>
  <si>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</si>
  <si>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</si>
  <si>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</si>
  <si>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</si>
  <si>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</si>
  <si>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</si>
  <si>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</si>
  <si>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</si>
  <si>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</si>
  <si>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</si>
  <si>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</si>
  <si>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</si>
  <si>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</si>
  <si>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</si>
  <si>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</si>
  <si>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</si>
  <si>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</si>
  <si>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</si>
  <si>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</si>
  <si>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</si>
  <si>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</si>
  <si>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</si>
  <si>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</si>
  <si>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</si>
  <si>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</si>
  <si>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</si>
  <si>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</si>
  <si>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</si>
  <si>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</si>
  <si>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</si>
  <si>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</si>
  <si>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</si>
  <si>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</si>
  <si>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</si>
  <si>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</si>
  <si>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</si>
  <si>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</si>
  <si>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</si>
  <si>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</si>
  <si>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</si>
  <si>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</si>
  <si>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</si>
  <si>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</si>
  <si>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</si>
  <si>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</si>
  <si>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</si>
  <si>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</si>
  <si>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</si>
  <si>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</si>
  <si>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</si>
  <si>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</si>
  <si>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</si>
  <si>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</si>
  <si>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</si>
  <si>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</si>
  <si>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</si>
  <si>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</si>
  <si>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</si>
  <si>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</si>
  <si>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</si>
  <si>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</si>
  <si>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</si>
  <si>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</si>
  <si>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</si>
  <si>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</si>
  <si>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</si>
  <si>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</si>
  <si>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</si>
  <si>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</si>
  <si>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</si>
  <si>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</si>
  <si>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</si>
  <si>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</si>
  <si>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</si>
  <si>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</si>
  <si>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</si>
  <si>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</si>
  <si>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</si>
  <si>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</si>
  <si>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</si>
  <si>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</si>
  <si>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</si>
  <si>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</si>
  <si>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</si>
  <si>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</si>
  <si>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</si>
  <si>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</si>
  <si>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</si>
  <si>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</si>
  <si>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</si>
  <si>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</si>
  <si>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</si>
  <si>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</si>
  <si>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</si>
  <si>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</si>
  <si>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</si>
  <si>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</si>
  <si>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</si>
  <si>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</si>
  <si>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</si>
  <si>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</si>
  <si>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</si>
  <si>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</si>
  <si>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</si>
  <si>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</si>
  <si>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</si>
  <si>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</si>
  <si>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</si>
  <si>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</si>
  <si>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</si>
  <si>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</si>
  <si>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</si>
  <si>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</si>
  <si>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</si>
  <si>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</si>
  <si>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</si>
  <si>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</si>
  <si>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</si>
  <si>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</si>
  <si>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</si>
  <si>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</si>
  <si>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</si>
  <si>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</si>
  <si>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</si>
  <si>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</si>
  <si>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</si>
  <si>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</si>
  <si>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</si>
  <si>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</si>
  <si>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</si>
  <si>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</si>
  <si>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</si>
  <si>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</si>
  <si>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</si>
  <si>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</si>
  <si>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>Inne rezerwy: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</si>
  <si>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</si>
  <si>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</si>
  <si>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</si>
  <si>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</si>
  <si>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</si>
  <si>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</si>
  <si>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</si>
  <si>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</si>
  <si>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</si>
  <si>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</si>
  <si>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</si>
  <si>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</si>
  <si>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</si>
  <si>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</si>
  <si>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</si>
  <si>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</si>
  <si>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</si>
  <si>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</si>
  <si>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</si>
  <si>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</si>
  <si>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</si>
  <si>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</si>
  <si>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</si>
  <si>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</si>
  <si>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</si>
  <si>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</si>
  <si>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</si>
  <si>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</si>
  <si>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</si>
  <si>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</si>
  <si>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Saldo otwarcia </t>
  </si>
  <si>
    <t>Saldo zamknięcia</t>
  </si>
  <si>
    <t>Saldo otwarcia</t>
  </si>
  <si>
    <t xml:space="preserve">Saldo zamknięcia </t>
  </si>
  <si>
    <t>Wartość początkowa na początek okresu</t>
  </si>
  <si>
    <t>Wartość początkowa na koniec okresu</t>
  </si>
  <si>
    <t xml:space="preserve">Odpisy na początek okresu </t>
  </si>
  <si>
    <t>Odpisy na koniec okresu</t>
  </si>
  <si>
    <t>ałą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</si>
  <si>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</si>
  <si>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</si>
  <si>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</si>
  <si>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</si>
  <si>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</si>
  <si>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</si>
  <si>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</si>
  <si>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</si>
  <si>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</si>
  <si>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Wola</t>
  </si>
  <si>
    <t>gospodarstwa pomocniczego</t>
  </si>
  <si>
    <t>ul. Kredytowa 3</t>
  </si>
  <si>
    <t>01-003 Warszawa</t>
  </si>
  <si>
    <t>jednostki budżetowej</t>
  </si>
  <si>
    <t>al.."Solidarności" 90</t>
  </si>
  <si>
    <t>sporządzony</t>
  </si>
  <si>
    <t>Wysyłać bez pisma przewodniego</t>
  </si>
  <si>
    <t>Numer identyfikacyjny REGON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</si>
  <si>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</si>
  <si>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</si>
  <si>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</si>
  <si>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</si>
  <si>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</si>
  <si>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</si>
  <si>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</si>
  <si>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</si>
  <si>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</si>
  <si>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</si>
  <si>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</si>
  <si>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</si>
  <si>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</si>
  <si>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</si>
  <si>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</si>
  <si>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</si>
  <si>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</si>
  <si>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</si>
  <si>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</si>
  <si>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</si>
  <si>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</si>
  <si>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</si>
  <si>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</si>
  <si>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</si>
  <si>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</si>
  <si>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</si>
  <si>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</si>
  <si>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</si>
  <si>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</si>
  <si>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</si>
  <si>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</si>
  <si>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</si>
  <si>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</si>
  <si>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</si>
  <si>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</si>
  <si>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</si>
  <si>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</si>
  <si>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</si>
  <si>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</si>
  <si>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</si>
  <si>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</si>
  <si>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</si>
  <si>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</si>
  <si>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</si>
  <si>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</si>
  <si>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</si>
  <si>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</si>
  <si>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</si>
  <si>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</si>
  <si>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</si>
  <si>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</si>
  <si>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</si>
  <si>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</si>
  <si>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</si>
  <si>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</si>
  <si>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</si>
  <si>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</si>
  <si>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</si>
  <si>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</si>
  <si>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</si>
  <si>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</si>
  <si>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</si>
  <si>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</si>
  <si>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</si>
  <si>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</si>
  <si>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</si>
  <si>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</si>
  <si>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</si>
  <si>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</si>
  <si>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</si>
  <si>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</si>
  <si>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</si>
  <si>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</si>
  <si>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Wola m.st. Warszawy</t>
  </si>
  <si>
    <t>Rachunek zysków i strat</t>
  </si>
  <si>
    <t>al.. Solidarności 90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</si>
  <si>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</si>
  <si>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</si>
  <si>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</si>
  <si>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</si>
  <si>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</si>
  <si>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</si>
  <si>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</si>
  <si>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</si>
  <si>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</si>
  <si>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</si>
  <si>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</si>
  <si>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</si>
  <si>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</si>
  <si>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</si>
  <si>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</si>
  <si>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</si>
  <si>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</si>
  <si>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brutto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</si>
  <si>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</si>
  <si>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</si>
  <si>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</si>
  <si>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</si>
  <si>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</si>
  <si>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</si>
  <si>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</si>
  <si>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</si>
  <si>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</si>
  <si>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</si>
  <si>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</si>
  <si>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</si>
  <si>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</si>
  <si>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</si>
  <si>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</si>
  <si>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</si>
  <si>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</si>
  <si>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</si>
  <si>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</si>
  <si>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</si>
  <si>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</si>
  <si>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</si>
  <si>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</si>
  <si>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</si>
  <si>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</si>
  <si>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</si>
  <si>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</si>
  <si>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</si>
  <si>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</si>
  <si>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</si>
  <si>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</si>
  <si>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</si>
  <si>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</si>
  <si>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</si>
  <si>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</si>
  <si>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</si>
  <si>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</si>
  <si>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</si>
  <si>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</si>
  <si>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</si>
  <si>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</si>
  <si>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Stan na                                                                                             początek roku</t>
  </si>
  <si>
    <t>brak</t>
  </si>
  <si>
    <t>Tramwaje Warszawskiej Spółka z. o.o.</t>
  </si>
  <si>
    <t>MPWiK SA</t>
  </si>
  <si>
    <t>TBS Warszawa Północ Spółka z o.o.</t>
  </si>
  <si>
    <t>1.6. Nieodpłatnie otrzymane środki trwałe i środki trwałe w budowie oraz wartości niematerialne i prawne</t>
  </si>
  <si>
    <t>koszty związane z rosyjską agresją na Ukrainę, w tym koszty udzielonej pomocy</t>
  </si>
  <si>
    <t>Należności długoterminowe:</t>
  </si>
  <si>
    <t>Należności krótkoterminowe:</t>
  </si>
  <si>
    <r>
      <t>Rezerwy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</si>
  <si>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</si>
  <si>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0"/>
        <rFont val="Calibri"/>
        <family val="2"/>
        <charset val="238"/>
      </rPr>
      <t>, w tym:</t>
    </r>
  </si>
  <si>
    <r>
      <t xml:space="preserve"> za grunty przejęte pod drogi w oparciu o tzw. Specustawę</t>
    </r>
    <r>
      <rPr>
        <sz val="10"/>
        <rFont val="Calibri"/>
        <family val="2"/>
        <charset val="238"/>
      </rPr>
      <t xml:space="preserve"> </t>
    </r>
  </si>
  <si>
    <t>Koszty mediów, dystrybucja energii (dot. oświetlenia ulic, sygnalizacji świetlnej...)</t>
  </si>
  <si>
    <t>Wartość początkowa na początek roku</t>
  </si>
  <si>
    <t>Wartość netto na początek roku</t>
  </si>
  <si>
    <t>Wartość netto na koniec roku</t>
  </si>
  <si>
    <t>Rok bieżący</t>
  </si>
  <si>
    <t>na dzień 31 grudnia 2023 roku</t>
  </si>
  <si>
    <t>sporządzony na dzień 31 grudnia 2023 r.</t>
  </si>
  <si>
    <t>sporządzone na dzień 31 grudnia 2023 r.</t>
  </si>
  <si>
    <t>II.1.1.a. Rzeczowy majątek trwały - zmiany w ciągu roku obrotowego 2023 r.</t>
  </si>
  <si>
    <r>
      <t xml:space="preserve">II.3.1. Informacja o stanie zatrudnienia </t>
    </r>
    <r>
      <rPr>
        <sz val="10"/>
        <rFont val="Calibri"/>
        <family val="2"/>
        <charset val="238"/>
      </rPr>
      <t>(osoby)</t>
    </r>
  </si>
  <si>
    <t>Koszty związane z wypłatą dodatku gazowego dla gospodarstw domowych spowodowanego wzrostem stawki VAT</t>
  </si>
  <si>
    <t>Koszty związane z wypłatą dodatku energetycznego doa gospodarstw domowych, które ogrzewają dom lub mieszkanie przy użyciu energii elektrycznej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</si>
</sst>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z_ł_-;\-* #,##0.00\ _z_ł_-;_-* &quot;-&quot;??\ _z_ł_-;_-@_-"/>
    <numFmt numFmtId="165" formatCode="_-* #,##0.00\ &quot;DM&quot;_-;\-* #,##0.00\ &quot;DM&quot;_-;_-* &quot;-&quot;??\ &quot;DM&quot;_-;_-@_-"/>
    <numFmt numFmtId="166" formatCode="#,##0.00;[Red]#,##0.00"/>
    <numFmt numFmtId="168" formatCode="#,##0.00_ ;\-#,##0.00\ "/>
    <numFmt numFmtId="169" formatCode="#,##0.00\ _z_ł"/>
    <numFmt numFmtId="170" formatCode="###,###,###,##0.00"/>
    <numFmt numFmtId="171" formatCode="#,##0.00\ &quot;zł&quot;"/>
  </numFmts>
  <fonts count="107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Book Antiqua"/>
      <family val="1"/>
      <charset val="238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trike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sz val="10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B050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B0F0"/>
      <name val="Arial"/>
      <family val="2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Book Antiqua"/>
      <family val="1"/>
      <charset val="238"/>
    </font>
    <font>
      <i/>
      <sz val="10"/>
      <name val="Book Antiqua"/>
      <family val="1"/>
      <charset val="238"/>
    </font>
    <font>
      <sz val="11"/>
      <name val="Times New Roman"/>
      <family val="1"/>
      <charset val="238"/>
    </font>
  </fonts>
  <fills count="7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1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9">
    <xf numFmtId="0" fontId="0" fillId="0" borderId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2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7" fillId="25" borderId="0" applyNumberFormat="0" applyBorder="0" applyAlignment="0" applyProtection="0"/>
    <xf numFmtId="0" fontId="9" fillId="16" borderId="0" applyNumberFormat="0" applyBorder="0" applyAlignment="0" applyProtection="0"/>
    <xf numFmtId="0" fontId="10" fillId="28" borderId="1" applyNumberFormat="0" applyAlignment="0" applyProtection="0"/>
    <xf numFmtId="0" fontId="11" fillId="17" borderId="2" applyNumberFormat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5" borderId="1" applyNumberFormat="0" applyAlignment="0" applyProtection="0"/>
    <xf numFmtId="0" fontId="19" fillId="0" borderId="7" applyNumberFormat="0" applyFill="0" applyAlignment="0" applyProtection="0"/>
    <xf numFmtId="0" fontId="20" fillId="25" borderId="0" applyNumberFormat="0" applyBorder="0" applyAlignment="0" applyProtection="0"/>
    <xf numFmtId="0" fontId="24" fillId="0" borderId="0"/>
    <xf numFmtId="0" fontId="5" fillId="0" borderId="0"/>
    <xf numFmtId="0" fontId="12" fillId="0" borderId="0"/>
    <xf numFmtId="0" fontId="5" fillId="0" borderId="0"/>
    <xf numFmtId="0" fontId="12" fillId="24" borderId="8" applyNumberFormat="0" applyFont="0" applyAlignment="0" applyProtection="0"/>
    <xf numFmtId="0" fontId="21" fillId="28" borderId="3" applyNumberFormat="0" applyAlignment="0" applyProtection="0"/>
    <xf numFmtId="4" fontId="22" fillId="34" borderId="9" applyNumberFormat="0" applyProtection="0">
      <alignment vertical="center"/>
    </xf>
    <xf numFmtId="4" fontId="23" fillId="34" borderId="9" applyNumberFormat="0" applyProtection="0">
      <alignment vertical="center"/>
    </xf>
    <xf numFmtId="4" fontId="22" fillId="34" borderId="9" applyNumberFormat="0" applyProtection="0">
      <alignment horizontal="left" vertical="center" indent="1"/>
    </xf>
    <xf numFmtId="0" fontId="22" fillId="34" borderId="9" applyNumberFormat="0" applyProtection="0">
      <alignment horizontal="left" vertical="top" indent="1"/>
    </xf>
    <xf numFmtId="4" fontId="22" fillId="2" borderId="0" applyNumberFormat="0" applyProtection="0">
      <alignment horizontal="left" vertical="center" indent="1"/>
    </xf>
    <xf numFmtId="4" fontId="24" fillId="7" borderId="9" applyNumberFormat="0" applyProtection="0">
      <alignment horizontal="right" vertical="center"/>
    </xf>
    <xf numFmtId="4" fontId="24" fillId="3" borderId="9" applyNumberFormat="0" applyProtection="0">
      <alignment horizontal="right" vertical="center"/>
    </xf>
    <xf numFmtId="4" fontId="24" fillId="26" borderId="9" applyNumberFormat="0" applyProtection="0">
      <alignment horizontal="right" vertical="center"/>
    </xf>
    <xf numFmtId="4" fontId="24" fillId="27" borderId="9" applyNumberFormat="0" applyProtection="0">
      <alignment horizontal="right" vertical="center"/>
    </xf>
    <xf numFmtId="4" fontId="24" fillId="35" borderId="9" applyNumberFormat="0" applyProtection="0">
      <alignment horizontal="right" vertical="center"/>
    </xf>
    <xf numFmtId="4" fontId="24" fillId="36" borderId="9" applyNumberFormat="0" applyProtection="0">
      <alignment horizontal="right" vertical="center"/>
    </xf>
    <xf numFmtId="4" fontId="24" fillId="9" borderId="9" applyNumberFormat="0" applyProtection="0">
      <alignment horizontal="right" vertical="center"/>
    </xf>
    <xf numFmtId="4" fontId="24" fillId="29" borderId="9" applyNumberFormat="0" applyProtection="0">
      <alignment horizontal="right" vertical="center"/>
    </xf>
    <xf numFmtId="4" fontId="24" fillId="37" borderId="9" applyNumberFormat="0" applyProtection="0">
      <alignment horizontal="right" vertical="center"/>
    </xf>
    <xf numFmtId="4" fontId="22" fillId="38" borderId="10" applyNumberFormat="0" applyProtection="0">
      <alignment horizontal="left" vertical="center" indent="1"/>
    </xf>
    <xf numFmtId="4" fontId="24" fillId="39" borderId="0" applyNumberFormat="0" applyProtection="0">
      <alignment horizontal="left" vertical="center" indent="1"/>
    </xf>
    <xf numFmtId="4" fontId="25" fillId="8" borderId="0" applyNumberFormat="0" applyProtection="0">
      <alignment horizontal="left" vertical="center" indent="1"/>
    </xf>
    <xf numFmtId="4" fontId="24" fillId="2" borderId="9" applyNumberFormat="0" applyProtection="0">
      <alignment horizontal="right" vertical="center"/>
    </xf>
    <xf numFmtId="4" fontId="26" fillId="39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12" fillId="8" borderId="9" applyNumberFormat="0" applyProtection="0">
      <alignment horizontal="left" vertical="center" indent="1"/>
    </xf>
    <xf numFmtId="0" fontId="12" fillId="8" borderId="9" applyNumberFormat="0" applyProtection="0">
      <alignment horizontal="left" vertical="top" indent="1"/>
    </xf>
    <xf numFmtId="0" fontId="12" fillId="2" borderId="9" applyNumberFormat="0" applyProtection="0">
      <alignment horizontal="left" vertical="center" indent="1"/>
    </xf>
    <xf numFmtId="0" fontId="12" fillId="2" borderId="9" applyNumberFormat="0" applyProtection="0">
      <alignment horizontal="left" vertical="top" indent="1"/>
    </xf>
    <xf numFmtId="0" fontId="12" fillId="6" borderId="9" applyNumberFormat="0" applyProtection="0">
      <alignment horizontal="left" vertical="center" indent="1"/>
    </xf>
    <xf numFmtId="0" fontId="12" fillId="6" borderId="9" applyNumberFormat="0" applyProtection="0">
      <alignment horizontal="left" vertical="top" indent="1"/>
    </xf>
    <xf numFmtId="0" fontId="12" fillId="39" borderId="9" applyNumberFormat="0" applyProtection="0">
      <alignment horizontal="left" vertical="center" indent="1"/>
    </xf>
    <xf numFmtId="0" fontId="12" fillId="39" borderId="9" applyNumberFormat="0" applyProtection="0">
      <alignment horizontal="left" vertical="top" indent="1"/>
    </xf>
    <xf numFmtId="0" fontId="12" fillId="5" borderId="11" applyNumberFormat="0">
      <protection locked="0"/>
    </xf>
    <xf numFmtId="4" fontId="24" fillId="4" borderId="9" applyNumberFormat="0" applyProtection="0">
      <alignment vertical="center"/>
    </xf>
    <xf numFmtId="4" fontId="27" fillId="4" borderId="9" applyNumberFormat="0" applyProtection="0">
      <alignment vertical="center"/>
    </xf>
    <xf numFmtId="4" fontId="24" fillId="4" borderId="9" applyNumberFormat="0" applyProtection="0">
      <alignment horizontal="left" vertical="center" indent="1"/>
    </xf>
    <xf numFmtId="0" fontId="24" fillId="4" borderId="9" applyNumberFormat="0" applyProtection="0">
      <alignment horizontal="left" vertical="top" indent="1"/>
    </xf>
    <xf numFmtId="4" fontId="24" fillId="39" borderId="9" applyNumberFormat="0" applyProtection="0">
      <alignment horizontal="right" vertical="center"/>
    </xf>
    <xf numFmtId="4" fontId="27" fillId="39" borderId="9" applyNumberFormat="0" applyProtection="0">
      <alignment horizontal="right" vertical="center"/>
    </xf>
    <xf numFmtId="4" fontId="24" fillId="2" borderId="9" applyNumberFormat="0" applyProtection="0">
      <alignment horizontal="left" vertical="center" indent="1"/>
    </xf>
    <xf numFmtId="0" fontId="24" fillId="2" borderId="9" applyNumberFormat="0" applyProtection="0">
      <alignment horizontal="left" vertical="top" indent="1"/>
    </xf>
    <xf numFmtId="4" fontId="28" fillId="40" borderId="0" applyNumberFormat="0" applyProtection="0">
      <alignment horizontal="left" vertical="center" indent="1"/>
    </xf>
    <xf numFmtId="4" fontId="29" fillId="39" borderId="9" applyNumberFormat="0" applyProtection="0">
      <alignment horizontal="right" vertical="center"/>
    </xf>
    <xf numFmtId="0" fontId="30" fillId="0" borderId="0" applyNumberFormat="0" applyFill="0" applyBorder="0" applyAlignment="0" applyProtection="0"/>
    <xf numFmtId="0" fontId="13" fillId="0" borderId="12" applyNumberFormat="0" applyFill="0" applyAlignment="0" applyProtection="0"/>
    <xf numFmtId="165" fontId="1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0" fontId="82" fillId="0" borderId="0" applyNumberFormat="0" applyFill="0" applyBorder="0" applyAlignment="0" applyProtection="0"/>
    <xf numFmtId="0" fontId="83" fillId="0" borderId="132" applyNumberFormat="0" applyFill="0" applyAlignment="0" applyProtection="0"/>
    <xf numFmtId="0" fontId="84" fillId="0" borderId="133" applyNumberFormat="0" applyFill="0" applyAlignment="0" applyProtection="0"/>
    <xf numFmtId="0" fontId="85" fillId="0" borderId="134" applyNumberFormat="0" applyFill="0" applyAlignment="0" applyProtection="0"/>
    <xf numFmtId="0" fontId="85" fillId="0" borderId="0" applyNumberFormat="0" applyFill="0" applyBorder="0" applyAlignment="0" applyProtection="0"/>
    <xf numFmtId="0" fontId="86" fillId="47" borderId="0" applyNumberFormat="0" applyBorder="0" applyAlignment="0" applyProtection="0"/>
    <xf numFmtId="0" fontId="87" fillId="48" borderId="0" applyNumberFormat="0" applyBorder="0" applyAlignment="0" applyProtection="0"/>
    <xf numFmtId="0" fontId="88" fillId="49" borderId="0" applyNumberFormat="0" applyBorder="0" applyAlignment="0" applyProtection="0"/>
    <xf numFmtId="0" fontId="89" fillId="50" borderId="135" applyNumberFormat="0" applyAlignment="0" applyProtection="0"/>
    <xf numFmtId="0" fontId="90" fillId="51" borderId="136" applyNumberFormat="0" applyAlignment="0" applyProtection="0"/>
    <xf numFmtId="0" fontId="91" fillId="51" borderId="135" applyNumberFormat="0" applyAlignment="0" applyProtection="0"/>
    <xf numFmtId="0" fontId="92" fillId="0" borderId="137" applyNumberFormat="0" applyFill="0" applyAlignment="0" applyProtection="0"/>
    <xf numFmtId="0" fontId="93" fillId="52" borderId="138" applyNumberFormat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140" applyNumberFormat="0" applyFill="0" applyAlignment="0" applyProtection="0"/>
    <xf numFmtId="0" fontId="97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97" fillId="57" borderId="0" applyNumberFormat="0" applyBorder="0" applyAlignment="0" applyProtection="0"/>
    <xf numFmtId="0" fontId="97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97" fillId="61" borderId="0" applyNumberFormat="0" applyBorder="0" applyAlignment="0" applyProtection="0"/>
    <xf numFmtId="0" fontId="97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97" fillId="65" borderId="0" applyNumberFormat="0" applyBorder="0" applyAlignment="0" applyProtection="0"/>
    <xf numFmtId="0" fontId="97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97" fillId="69" borderId="0" applyNumberFormat="0" applyBorder="0" applyAlignment="0" applyProtection="0"/>
    <xf numFmtId="0" fontId="97" fillId="70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97" fillId="73" borderId="0" applyNumberFormat="0" applyBorder="0" applyAlignment="0" applyProtection="0"/>
    <xf numFmtId="0" fontId="97" fillId="74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97" fillId="77" borderId="0" applyNumberFormat="0" applyBorder="0" applyAlignment="0" applyProtection="0"/>
    <xf numFmtId="0" fontId="3" fillId="0" borderId="0"/>
    <xf numFmtId="0" fontId="3" fillId="53" borderId="139" applyNumberFormat="0" applyFont="0" applyAlignment="0" applyProtection="0"/>
    <xf numFmtId="0" fontId="2" fillId="0" borderId="0"/>
    <xf numFmtId="0" fontId="2" fillId="53" borderId="139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4" fillId="0" borderId="0"/>
    <xf numFmtId="0" fontId="4" fillId="24" borderId="8" applyNumberFormat="0" applyFont="0" applyAlignment="0" applyProtection="0"/>
    <xf numFmtId="0" fontId="4" fillId="8" borderId="9" applyNumberFormat="0" applyProtection="0">
      <alignment horizontal="left" vertical="center" indent="1"/>
    </xf>
    <xf numFmtId="0" fontId="4" fillId="8" borderId="9" applyNumberFormat="0" applyProtection="0">
      <alignment horizontal="left" vertical="top" indent="1"/>
    </xf>
    <xf numFmtId="0" fontId="4" fillId="2" borderId="9" applyNumberFormat="0" applyProtection="0">
      <alignment horizontal="left" vertical="center" indent="1"/>
    </xf>
    <xf numFmtId="0" fontId="4" fillId="2" borderId="9" applyNumberFormat="0" applyProtection="0">
      <alignment horizontal="left" vertical="top" indent="1"/>
    </xf>
    <xf numFmtId="0" fontId="4" fillId="6" borderId="9" applyNumberFormat="0" applyProtection="0">
      <alignment horizontal="left" vertical="center" indent="1"/>
    </xf>
    <xf numFmtId="0" fontId="4" fillId="6" borderId="9" applyNumberFormat="0" applyProtection="0">
      <alignment horizontal="left" vertical="top" indent="1"/>
    </xf>
    <xf numFmtId="0" fontId="4" fillId="39" borderId="9" applyNumberFormat="0" applyProtection="0">
      <alignment horizontal="left" vertical="center" indent="1"/>
    </xf>
    <xf numFmtId="0" fontId="4" fillId="39" borderId="9" applyNumberFormat="0" applyProtection="0">
      <alignment horizontal="left" vertical="top" indent="1"/>
    </xf>
    <xf numFmtId="0" fontId="4" fillId="5" borderId="11" applyNumberFormat="0">
      <protection locked="0"/>
    </xf>
    <xf numFmtId="165" fontId="4" fillId="0" borderId="0" applyFont="0" applyFill="0" applyBorder="0" applyAlignment="0" applyProtection="0"/>
    <xf numFmtId="0" fontId="1" fillId="0" borderId="0"/>
  </cellStyleXfs>
  <cellXfs count="1124">
    <xf numFmtId="0" fontId="0" fillId="0" borderId="0" xfId="0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4" fontId="34" fillId="0" borderId="0" xfId="0" applyNumberFormat="1" applyFont="1" applyAlignment="1">
      <alignment horizontal="left"/>
    </xf>
    <xf numFmtId="4" fontId="36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47" fillId="44" borderId="22" xfId="0" applyFont="1" applyFill="1" applyBorder="1" applyAlignment="1">
      <alignment horizontal="center" wrapText="1"/>
    </xf>
    <xf numFmtId="0" fontId="47" fillId="44" borderId="26" xfId="0" applyFont="1" applyFill="1" applyBorder="1" applyAlignment="1">
      <alignment horizontal="center" wrapText="1"/>
    </xf>
    <xf numFmtId="0" fontId="47" fillId="44" borderId="27" xfId="0" applyFont="1" applyFill="1" applyBorder="1" applyAlignment="1">
      <alignment horizontal="center" wrapText="1"/>
    </xf>
    <xf numFmtId="0" fontId="47" fillId="44" borderId="28" xfId="0" applyFont="1" applyFill="1" applyBorder="1" applyAlignment="1">
      <alignment horizontal="center" wrapText="1"/>
    </xf>
    <xf numFmtId="4" fontId="47" fillId="0" borderId="11" xfId="0" applyNumberFormat="1" applyFont="1" applyBorder="1" applyAlignment="1">
      <alignment horizontal="right"/>
    </xf>
    <xf numFmtId="4" fontId="36" fillId="0" borderId="22" xfId="0" applyNumberFormat="1" applyFont="1" applyBorder="1" applyAlignment="1">
      <alignment vertical="center"/>
    </xf>
    <xf numFmtId="4" fontId="36" fillId="0" borderId="29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horizontal="right"/>
    </xf>
    <xf numFmtId="2" fontId="48" fillId="0" borderId="11" xfId="0" applyNumberFormat="1" applyFont="1" applyBorder="1" applyAlignment="1">
      <alignment wrapText="1"/>
    </xf>
    <xf numFmtId="2" fontId="48" fillId="0" borderId="22" xfId="0" applyNumberFormat="1" applyFont="1" applyBorder="1" applyAlignment="1">
      <alignment wrapText="1"/>
    </xf>
    <xf numFmtId="2" fontId="48" fillId="0" borderId="31" xfId="0" applyNumberFormat="1" applyFont="1" applyBorder="1" applyAlignment="1">
      <alignment horizontal="right"/>
    </xf>
    <xf numFmtId="4" fontId="36" fillId="0" borderId="24" xfId="0" applyNumberFormat="1" applyFont="1" applyBorder="1" applyAlignment="1">
      <alignment vertical="center"/>
    </xf>
    <xf numFmtId="4" fontId="36" fillId="0" borderId="30" xfId="0" applyNumberFormat="1" applyFont="1" applyBorder="1" applyAlignment="1">
      <alignment vertical="center"/>
    </xf>
    <xf numFmtId="2" fontId="48" fillId="0" borderId="24" xfId="0" applyNumberFormat="1" applyFont="1" applyBorder="1" applyAlignment="1">
      <alignment horizontal="right"/>
    </xf>
    <xf numFmtId="4" fontId="47" fillId="43" borderId="34" xfId="0" applyNumberFormat="1" applyFont="1" applyFill="1" applyBorder="1" applyAlignment="1">
      <alignment horizontal="right"/>
    </xf>
    <xf numFmtId="4" fontId="47" fillId="43" borderId="13" xfId="0" applyNumberFormat="1" applyFont="1" applyFill="1" applyBorder="1" applyAlignment="1">
      <alignment horizontal="right"/>
    </xf>
    <xf numFmtId="4" fontId="47" fillId="43" borderId="35" xfId="0" applyNumberFormat="1" applyFont="1" applyFill="1" applyBorder="1" applyAlignment="1">
      <alignment horizontal="right"/>
    </xf>
    <xf numFmtId="4" fontId="40" fillId="41" borderId="15" xfId="0" applyNumberFormat="1" applyFont="1" applyFill="1" applyBorder="1" applyAlignment="1">
      <alignment horizontal="center" vertical="center" wrapText="1"/>
    </xf>
    <xf numFmtId="4" fontId="35" fillId="43" borderId="38" xfId="0" applyNumberFormat="1" applyFont="1" applyFill="1" applyBorder="1" applyAlignment="1">
      <alignment horizontal="center" vertical="center" wrapText="1"/>
    </xf>
    <xf numFmtId="4" fontId="40" fillId="0" borderId="39" xfId="0" applyNumberFormat="1" applyFont="1" applyBorder="1" applyAlignment="1">
      <alignment vertical="center"/>
    </xf>
    <xf numFmtId="4" fontId="40" fillId="0" borderId="19" xfId="0" applyNumberFormat="1" applyFont="1" applyBorder="1" applyAlignment="1">
      <alignment vertical="center"/>
    </xf>
    <xf numFmtId="4" fontId="40" fillId="0" borderId="20" xfId="0" applyNumberFormat="1" applyFont="1" applyBorder="1" applyAlignment="1">
      <alignment vertical="center"/>
    </xf>
    <xf numFmtId="4" fontId="40" fillId="0" borderId="41" xfId="0" applyNumberFormat="1" applyFont="1" applyBorder="1" applyAlignment="1">
      <alignment vertical="center"/>
    </xf>
    <xf numFmtId="4" fontId="40" fillId="0" borderId="21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36" fillId="0" borderId="41" xfId="0" applyNumberFormat="1" applyFont="1" applyBorder="1" applyAlignment="1">
      <alignment vertical="center"/>
    </xf>
    <xf numFmtId="4" fontId="36" fillId="0" borderId="21" xfId="0" applyNumberFormat="1" applyFont="1" applyBorder="1" applyAlignment="1">
      <alignment vertical="center"/>
    </xf>
    <xf numFmtId="4" fontId="36" fillId="0" borderId="45" xfId="0" applyNumberFormat="1" applyFont="1" applyBorder="1" applyAlignment="1">
      <alignment vertical="center"/>
    </xf>
    <xf numFmtId="4" fontId="36" fillId="0" borderId="44" xfId="0" applyNumberFormat="1" applyFont="1" applyBorder="1" applyAlignment="1">
      <alignment vertical="center"/>
    </xf>
    <xf numFmtId="4" fontId="36" fillId="0" borderId="46" xfId="0" applyNumberFormat="1" applyFont="1" applyBorder="1" applyAlignment="1">
      <alignment vertical="center"/>
    </xf>
    <xf numFmtId="4" fontId="40" fillId="41" borderId="15" xfId="0" applyNumberFormat="1" applyFont="1" applyFill="1" applyBorder="1" applyAlignment="1">
      <alignment vertical="center"/>
    </xf>
    <xf numFmtId="4" fontId="40" fillId="0" borderId="50" xfId="0" applyNumberFormat="1" applyFont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6" fillId="0" borderId="0" xfId="0" applyNumberFormat="1" applyFont="1" applyAlignment="1" applyProtection="1">
      <alignment vertical="center"/>
      <protection locked="0"/>
    </xf>
    <xf numFmtId="4" fontId="36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6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19" xfId="0" applyNumberFormat="1" applyFont="1" applyBorder="1" applyAlignment="1" applyProtection="1">
      <alignment vertical="center"/>
      <protection locked="0"/>
    </xf>
    <xf numFmtId="4" fontId="40" fillId="0" borderId="19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36" fillId="0" borderId="17" xfId="0" applyNumberFormat="1" applyFont="1" applyBorder="1" applyAlignment="1" applyProtection="1">
      <alignment vertical="center"/>
      <protection locked="0"/>
    </xf>
    <xf numFmtId="4" fontId="36" fillId="0" borderId="21" xfId="0" applyNumberFormat="1" applyFont="1" applyBorder="1" applyAlignment="1" applyProtection="1">
      <alignment vertical="center"/>
      <protection locked="0"/>
    </xf>
    <xf numFmtId="4" fontId="40" fillId="43" borderId="57" xfId="0" applyNumberFormat="1" applyFont="1" applyFill="1" applyBorder="1" applyAlignment="1" applyProtection="1">
      <alignment vertical="center"/>
      <protection locked="0"/>
    </xf>
    <xf numFmtId="4" fontId="40" fillId="43" borderId="15" xfId="0" applyNumberFormat="1" applyFont="1" applyFill="1" applyBorder="1" applyAlignment="1" applyProtection="1">
      <alignment vertical="center"/>
      <protection locked="0"/>
    </xf>
    <xf numFmtId="4" fontId="36" fillId="0" borderId="58" xfId="0" applyNumberFormat="1" applyFont="1" applyBorder="1" applyAlignment="1" applyProtection="1">
      <alignment horizontal="right" vertical="center" wrapText="1"/>
      <protection locked="0"/>
    </xf>
    <xf numFmtId="4" fontId="36" fillId="0" borderId="11" xfId="0" applyNumberFormat="1" applyFont="1" applyBorder="1" applyAlignment="1" applyProtection="1">
      <alignment horizontal="right" vertical="center" wrapText="1"/>
      <protection locked="0"/>
    </xf>
    <xf numFmtId="4" fontId="36" fillId="0" borderId="31" xfId="0" applyNumberFormat="1" applyFont="1" applyBorder="1" applyAlignment="1" applyProtection="1">
      <alignment horizontal="right" vertical="center" wrapText="1"/>
      <protection locked="0"/>
    </xf>
    <xf numFmtId="4" fontId="36" fillId="43" borderId="58" xfId="0" applyNumberFormat="1" applyFont="1" applyFill="1" applyBorder="1" applyAlignment="1" applyProtection="1">
      <alignment horizontal="right" vertical="center" wrapText="1"/>
      <protection locked="0"/>
    </xf>
    <xf numFmtId="4" fontId="35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15" xfId="0" applyNumberFormat="1" applyFont="1" applyFill="1" applyBorder="1" applyAlignment="1">
      <alignment horizontal="right" vertical="center" wrapText="1"/>
    </xf>
    <xf numFmtId="4" fontId="35" fillId="41" borderId="38" xfId="0" applyNumberFormat="1" applyFont="1" applyFill="1" applyBorder="1" applyAlignment="1">
      <alignment horizontal="right" vertical="center" wrapText="1"/>
    </xf>
    <xf numFmtId="4" fontId="40" fillId="43" borderId="15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Alignment="1">
      <alignment vertical="center" wrapText="1"/>
    </xf>
    <xf numFmtId="4" fontId="35" fillId="41" borderId="15" xfId="0" applyNumberFormat="1" applyFont="1" applyFill="1" applyBorder="1" applyAlignment="1">
      <alignment horizontal="center" vertical="center" wrapText="1"/>
    </xf>
    <xf numFmtId="4" fontId="35" fillId="43" borderId="15" xfId="0" applyNumberFormat="1" applyFont="1" applyFill="1" applyBorder="1" applyAlignment="1">
      <alignment horizontal="center" vertical="center" wrapText="1"/>
    </xf>
    <xf numFmtId="4" fontId="35" fillId="43" borderId="63" xfId="0" applyNumberFormat="1" applyFont="1" applyFill="1" applyBorder="1" applyAlignment="1">
      <alignment horizontal="left" vertical="center" wrapText="1"/>
    </xf>
    <xf numFmtId="4" fontId="40" fillId="41" borderId="15" xfId="0" applyNumberFormat="1" applyFont="1" applyFill="1" applyBorder="1" applyAlignment="1">
      <alignment horizontal="right" vertical="center"/>
    </xf>
    <xf numFmtId="4" fontId="40" fillId="0" borderId="15" xfId="0" applyNumberFormat="1" applyFont="1" applyBorder="1" applyAlignment="1" applyProtection="1">
      <alignment horizontal="right" vertical="center" wrapText="1"/>
      <protection locked="0"/>
    </xf>
    <xf numFmtId="4" fontId="35" fillId="43" borderId="5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36" fillId="43" borderId="35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34" xfId="0" applyNumberFormat="1" applyFont="1" applyFill="1" applyBorder="1" applyAlignment="1" applyProtection="1">
      <alignment horizontal="center" vertical="center" wrapText="1"/>
      <protection locked="0"/>
    </xf>
    <xf numFmtId="4" fontId="36" fillId="43" borderId="13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7" xfId="0" applyNumberFormat="1" applyFont="1" applyBorder="1" applyAlignment="1" applyProtection="1">
      <alignment horizontal="right" vertical="center" wrapText="1"/>
      <protection locked="0"/>
    </xf>
    <xf numFmtId="4" fontId="40" fillId="0" borderId="16" xfId="0" applyNumberFormat="1" applyFont="1" applyBorder="1" applyAlignment="1" applyProtection="1">
      <alignment horizontal="right" vertical="center" wrapText="1"/>
      <protection locked="0"/>
    </xf>
    <xf numFmtId="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 applyProtection="1">
      <alignment vertical="center" wrapText="1"/>
      <protection locked="0"/>
    </xf>
    <xf numFmtId="4" fontId="40" fillId="0" borderId="47" xfId="0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right" vertical="center" wrapText="1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35" fillId="43" borderId="7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center" vertical="center"/>
    </xf>
    <xf numFmtId="4" fontId="36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left" vertical="center"/>
    </xf>
    <xf numFmtId="4" fontId="34" fillId="0" borderId="0" xfId="0" applyNumberFormat="1" applyFont="1" applyAlignment="1">
      <alignment vertical="center"/>
    </xf>
    <xf numFmtId="4" fontId="34" fillId="0" borderId="39" xfId="0" applyNumberFormat="1" applyFont="1" applyBorder="1" applyAlignment="1">
      <alignment horizontal="right" vertical="center" wrapText="1"/>
    </xf>
    <xf numFmtId="4" fontId="34" fillId="0" borderId="19" xfId="0" applyNumberFormat="1" applyFont="1" applyBorder="1" applyAlignment="1">
      <alignment horizontal="right" vertical="center" wrapText="1"/>
    </xf>
    <xf numFmtId="4" fontId="34" fillId="0" borderId="50" xfId="0" applyNumberFormat="1" applyFont="1" applyBorder="1" applyAlignment="1">
      <alignment horizontal="right" vertical="center" wrapText="1"/>
    </xf>
    <xf numFmtId="4" fontId="34" fillId="0" borderId="49" xfId="0" applyNumberFormat="1" applyFont="1" applyBorder="1" applyAlignment="1">
      <alignment horizontal="right" vertical="center" wrapText="1"/>
    </xf>
    <xf numFmtId="4" fontId="34" fillId="0" borderId="45" xfId="0" applyNumberFormat="1" applyFont="1" applyBorder="1" applyAlignment="1">
      <alignment horizontal="right" vertical="center" wrapText="1"/>
    </xf>
    <xf numFmtId="4" fontId="34" fillId="0" borderId="44" xfId="0" applyNumberFormat="1" applyFont="1" applyBorder="1" applyAlignment="1">
      <alignment horizontal="right" vertical="center" wrapText="1"/>
    </xf>
    <xf numFmtId="4" fontId="34" fillId="0" borderId="67" xfId="0" applyNumberFormat="1" applyFont="1" applyBorder="1" applyAlignment="1">
      <alignment horizontal="right" vertical="center" wrapText="1"/>
    </xf>
    <xf numFmtId="4" fontId="34" fillId="0" borderId="23" xfId="0" applyNumberFormat="1" applyFont="1" applyBorder="1" applyAlignment="1">
      <alignment horizontal="right" vertical="center" wrapText="1"/>
    </xf>
    <xf numFmtId="4" fontId="40" fillId="0" borderId="15" xfId="0" applyNumberFormat="1" applyFont="1" applyBorder="1" applyAlignment="1">
      <alignment vertical="center"/>
    </xf>
    <xf numFmtId="4" fontId="43" fillId="0" borderId="21" xfId="0" applyNumberFormat="1" applyFont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4" fontId="43" fillId="0" borderId="23" xfId="0" applyNumberFormat="1" applyFont="1" applyBorder="1" applyAlignment="1" applyProtection="1">
      <alignment vertical="center"/>
      <protection locked="0"/>
    </xf>
    <xf numFmtId="4" fontId="36" fillId="0" borderId="24" xfId="0" applyNumberFormat="1" applyFont="1" applyBorder="1" applyAlignment="1" applyProtection="1">
      <alignment vertical="center"/>
      <protection locked="0"/>
    </xf>
    <xf numFmtId="4" fontId="36" fillId="0" borderId="28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Border="1" applyAlignment="1" applyProtection="1">
      <alignment vertical="center"/>
      <protection locked="0"/>
    </xf>
    <xf numFmtId="4" fontId="35" fillId="0" borderId="0" xfId="0" applyNumberFormat="1" applyFont="1" applyAlignment="1" applyProtection="1">
      <alignment horizontal="center" vertical="center" wrapText="1"/>
      <protection locked="0"/>
    </xf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 applyProtection="1">
      <alignment vertical="center"/>
      <protection locked="0"/>
    </xf>
    <xf numFmtId="4" fontId="36" fillId="0" borderId="46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4" fontId="40" fillId="0" borderId="15" xfId="0" applyNumberFormat="1" applyFont="1" applyBorder="1" applyAlignment="1" applyProtection="1">
      <alignment vertical="center"/>
      <protection locked="0"/>
    </xf>
    <xf numFmtId="4" fontId="36" fillId="0" borderId="20" xfId="0" applyNumberFormat="1" applyFont="1" applyBorder="1" applyAlignment="1" applyProtection="1">
      <alignment vertical="center"/>
      <protection locked="0"/>
    </xf>
    <xf numFmtId="4" fontId="40" fillId="41" borderId="15" xfId="0" applyNumberFormat="1" applyFont="1" applyFill="1" applyBorder="1" applyAlignment="1">
      <alignment horizontal="center" vertical="center"/>
    </xf>
    <xf numFmtId="4" fontId="36" fillId="0" borderId="44" xfId="0" applyNumberFormat="1" applyFont="1" applyBorder="1" applyAlignment="1" applyProtection="1">
      <alignment vertical="center"/>
      <protection locked="0"/>
    </xf>
    <xf numFmtId="0" fontId="34" fillId="0" borderId="0" xfId="0" applyFont="1" applyAlignment="1">
      <alignment horizontal="left" vertical="center"/>
    </xf>
    <xf numFmtId="0" fontId="34" fillId="0" borderId="0" xfId="41" applyFont="1"/>
    <xf numFmtId="0" fontId="44" fillId="0" borderId="0" xfId="0" applyFont="1" applyAlignment="1" applyProtection="1">
      <alignment horizontal="left" vertical="center" wrapText="1"/>
      <protection locked="0"/>
    </xf>
    <xf numFmtId="0" fontId="34" fillId="0" borderId="0" xfId="40" applyFont="1"/>
    <xf numFmtId="0" fontId="34" fillId="0" borderId="0" xfId="40" applyFont="1" applyAlignment="1">
      <alignment wrapText="1"/>
    </xf>
    <xf numFmtId="4" fontId="45" fillId="0" borderId="0" xfId="0" applyNumberFormat="1" applyFont="1" applyAlignment="1" applyProtection="1">
      <alignment vertical="center"/>
      <protection locked="0"/>
    </xf>
    <xf numFmtId="4" fontId="36" fillId="0" borderId="13" xfId="0" applyNumberFormat="1" applyFont="1" applyBorder="1" applyAlignment="1" applyProtection="1">
      <alignment vertical="center"/>
      <protection locked="0"/>
    </xf>
    <xf numFmtId="4" fontId="36" fillId="0" borderId="49" xfId="0" applyNumberFormat="1" applyFont="1" applyBorder="1" applyAlignment="1">
      <alignment vertical="center"/>
    </xf>
    <xf numFmtId="0" fontId="48" fillId="0" borderId="0" xfId="0" applyFont="1" applyAlignment="1">
      <alignment wrapText="1"/>
    </xf>
    <xf numFmtId="4" fontId="49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/>
    </xf>
    <xf numFmtId="4" fontId="50" fillId="0" borderId="0" xfId="0" applyNumberFormat="1" applyFont="1" applyAlignment="1" applyProtection="1">
      <alignment vertical="center"/>
      <protection locked="0"/>
    </xf>
    <xf numFmtId="4" fontId="40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3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21" xfId="0" applyNumberFormat="1" applyFont="1" applyBorder="1" applyAlignment="1" applyProtection="1">
      <alignment vertical="center"/>
      <protection locked="0"/>
    </xf>
    <xf numFmtId="4" fontId="37" fillId="41" borderId="38" xfId="0" applyNumberFormat="1" applyFont="1" applyFill="1" applyBorder="1" applyAlignment="1" applyProtection="1">
      <alignment horizontal="center" vertical="center" wrapText="1"/>
      <protection locked="0"/>
    </xf>
    <xf numFmtId="0" fontId="35" fillId="43" borderId="19" xfId="40" applyFont="1" applyFill="1" applyBorder="1" applyAlignment="1">
      <alignment vertical="center" wrapText="1"/>
    </xf>
    <xf numFmtId="4" fontId="35" fillId="43" borderId="16" xfId="0" applyNumberFormat="1" applyFont="1" applyFill="1" applyBorder="1" applyAlignment="1">
      <alignment horizontal="center" vertical="center" wrapText="1"/>
    </xf>
    <xf numFmtId="0" fontId="35" fillId="0" borderId="19" xfId="40" applyFont="1" applyBorder="1" applyAlignment="1">
      <alignment vertical="center" wrapText="1"/>
    </xf>
    <xf numFmtId="4" fontId="35" fillId="0" borderId="15" xfId="0" applyNumberFormat="1" applyFont="1" applyBorder="1" applyAlignment="1">
      <alignment horizontal="left" vertical="center" wrapText="1"/>
    </xf>
    <xf numFmtId="4" fontId="35" fillId="0" borderId="47" xfId="0" applyNumberFormat="1" applyFont="1" applyBorder="1" applyAlignment="1">
      <alignment horizontal="right" vertical="center" wrapText="1"/>
    </xf>
    <xf numFmtId="4" fontId="35" fillId="0" borderId="15" xfId="0" applyNumberFormat="1" applyFont="1" applyBorder="1" applyAlignment="1">
      <alignment horizontal="right" vertical="center" wrapText="1"/>
    </xf>
    <xf numFmtId="4" fontId="35" fillId="0" borderId="47" xfId="0" applyNumberFormat="1" applyFont="1" applyBorder="1" applyAlignment="1" applyProtection="1">
      <alignment horizontal="right" vertical="center" wrapText="1"/>
      <protection locked="0"/>
    </xf>
    <xf numFmtId="4" fontId="35" fillId="0" borderId="68" xfId="0" applyNumberFormat="1" applyFont="1" applyBorder="1" applyAlignment="1" applyProtection="1">
      <alignment horizontal="right" vertical="center" wrapText="1"/>
      <protection locked="0"/>
    </xf>
    <xf numFmtId="4" fontId="35" fillId="0" borderId="16" xfId="0" applyNumberFormat="1" applyFont="1" applyBorder="1" applyAlignment="1" applyProtection="1">
      <alignment horizontal="right" vertical="center" wrapText="1"/>
      <protection locked="0"/>
    </xf>
    <xf numFmtId="4" fontId="35" fillId="0" borderId="15" xfId="0" applyNumberFormat="1" applyFont="1" applyBorder="1" applyAlignment="1" applyProtection="1">
      <alignment horizontal="right" vertical="center" wrapText="1"/>
      <protection locked="0"/>
    </xf>
    <xf numFmtId="4" fontId="35" fillId="0" borderId="69" xfId="0" applyNumberFormat="1" applyFont="1" applyBorder="1" applyAlignment="1" applyProtection="1">
      <alignment horizontal="right" vertical="center" wrapText="1"/>
      <protection locked="0"/>
    </xf>
    <xf numFmtId="4" fontId="35" fillId="0" borderId="15" xfId="0" applyNumberFormat="1" applyFont="1" applyBorder="1" applyAlignment="1" applyProtection="1">
      <alignment vertical="center" wrapText="1"/>
      <protection locked="0"/>
    </xf>
    <xf numFmtId="4" fontId="36" fillId="0" borderId="26" xfId="0" applyNumberFormat="1" applyFont="1" applyBorder="1" applyAlignment="1" applyProtection="1">
      <alignment horizontal="right" vertical="center" wrapText="1"/>
      <protection locked="0"/>
    </xf>
    <xf numFmtId="4" fontId="36" fillId="0" borderId="28" xfId="0" applyNumberFormat="1" applyFont="1" applyBorder="1" applyAlignment="1" applyProtection="1">
      <alignment horizontal="right" vertical="center" wrapText="1"/>
      <protection locked="0"/>
    </xf>
    <xf numFmtId="4" fontId="36" fillId="0" borderId="78" xfId="0" applyNumberFormat="1" applyFont="1" applyBorder="1" applyAlignment="1" applyProtection="1">
      <alignment horizontal="right" vertical="center" wrapText="1"/>
      <protection locked="0"/>
    </xf>
    <xf numFmtId="4" fontId="36" fillId="0" borderId="49" xfId="0" applyNumberFormat="1" applyFont="1" applyBorder="1" applyAlignment="1" applyProtection="1">
      <alignment horizontal="right" vertical="center" wrapText="1"/>
      <protection locked="0"/>
    </xf>
    <xf numFmtId="4" fontId="36" fillId="0" borderId="29" xfId="0" applyNumberFormat="1" applyFont="1" applyBorder="1" applyAlignment="1" applyProtection="1">
      <alignment horizontal="right" vertical="center" wrapText="1"/>
      <protection locked="0"/>
    </xf>
    <xf numFmtId="4" fontId="36" fillId="0" borderId="22" xfId="0" applyNumberFormat="1" applyFont="1" applyBorder="1" applyAlignment="1" applyProtection="1">
      <alignment horizontal="right" vertical="center" wrapText="1"/>
      <protection locked="0"/>
    </xf>
    <xf numFmtId="4" fontId="36" fillId="0" borderId="25" xfId="0" applyNumberFormat="1" applyFont="1" applyBorder="1" applyAlignment="1" applyProtection="1">
      <alignment horizontal="right" vertical="center" wrapText="1"/>
      <protection locked="0"/>
    </xf>
    <xf numFmtId="4" fontId="34" fillId="0" borderId="21" xfId="0" applyNumberFormat="1" applyFont="1" applyBorder="1" applyAlignment="1" applyProtection="1">
      <alignment horizontal="left" vertical="center" wrapText="1"/>
      <protection locked="0"/>
    </xf>
    <xf numFmtId="4" fontId="34" fillId="0" borderId="21" xfId="0" applyNumberFormat="1" applyFont="1" applyBorder="1" applyAlignment="1" applyProtection="1">
      <alignment vertical="center" wrapText="1"/>
      <protection locked="0"/>
    </xf>
    <xf numFmtId="4" fontId="34" fillId="0" borderId="19" xfId="0" applyNumberFormat="1" applyFont="1" applyBorder="1" applyAlignment="1" applyProtection="1">
      <alignment vertical="center"/>
      <protection locked="0"/>
    </xf>
    <xf numFmtId="4" fontId="34" fillId="0" borderId="64" xfId="0" applyNumberFormat="1" applyFont="1" applyBorder="1" applyAlignment="1" applyProtection="1">
      <alignment vertical="center"/>
      <protection locked="0"/>
    </xf>
    <xf numFmtId="4" fontId="37" fillId="0" borderId="21" xfId="0" applyNumberFormat="1" applyFont="1" applyBorder="1" applyAlignment="1">
      <alignment vertical="center"/>
    </xf>
    <xf numFmtId="4" fontId="37" fillId="0" borderId="20" xfId="0" applyNumberFormat="1" applyFont="1" applyBorder="1" applyAlignment="1">
      <alignment vertical="center"/>
    </xf>
    <xf numFmtId="0" fontId="35" fillId="43" borderId="15" xfId="40" applyFont="1" applyFill="1" applyBorder="1" applyAlignment="1">
      <alignment vertical="center" wrapText="1"/>
    </xf>
    <xf numFmtId="4" fontId="35" fillId="0" borderId="35" xfId="0" applyNumberFormat="1" applyFont="1" applyBorder="1" applyAlignment="1" applyProtection="1">
      <alignment horizontal="right" vertical="center" wrapText="1"/>
      <protection locked="0"/>
    </xf>
    <xf numFmtId="4" fontId="35" fillId="0" borderId="34" xfId="0" applyNumberFormat="1" applyFont="1" applyBorder="1" applyAlignment="1" applyProtection="1">
      <alignment horizontal="right" vertical="center" wrapText="1"/>
      <protection locked="0"/>
    </xf>
    <xf numFmtId="4" fontId="35" fillId="0" borderId="13" xfId="0" applyNumberFormat="1" applyFont="1" applyBorder="1" applyAlignment="1" applyProtection="1">
      <alignment horizontal="right" vertical="center" wrapText="1"/>
      <protection locked="0"/>
    </xf>
    <xf numFmtId="4" fontId="35" fillId="0" borderId="36" xfId="0" applyNumberFormat="1" applyFont="1" applyBorder="1" applyAlignment="1" applyProtection="1">
      <alignment horizontal="right" vertical="center" wrapText="1"/>
      <protection locked="0"/>
    </xf>
    <xf numFmtId="4" fontId="35" fillId="0" borderId="58" xfId="0" applyNumberFormat="1" applyFont="1" applyBorder="1" applyAlignment="1" applyProtection="1">
      <alignment horizontal="right" vertical="center" wrapText="1"/>
      <protection locked="0"/>
    </xf>
    <xf numFmtId="4" fontId="35" fillId="0" borderId="20" xfId="0" applyNumberFormat="1" applyFont="1" applyBorder="1" applyAlignment="1" applyProtection="1">
      <alignment horizontal="right" vertical="center" wrapText="1"/>
      <protection locked="0"/>
    </xf>
    <xf numFmtId="4" fontId="34" fillId="0" borderId="63" xfId="0" applyNumberFormat="1" applyFont="1" applyBorder="1" applyAlignment="1" applyProtection="1">
      <alignment vertical="center" wrapText="1"/>
      <protection locked="0"/>
    </xf>
    <xf numFmtId="4" fontId="34" fillId="0" borderId="19" xfId="0" applyNumberFormat="1" applyFont="1" applyBorder="1" applyAlignment="1" applyProtection="1">
      <alignment vertical="center" wrapText="1"/>
      <protection locked="0"/>
    </xf>
    <xf numFmtId="4" fontId="35" fillId="0" borderId="63" xfId="0" applyNumberFormat="1" applyFont="1" applyBorder="1" applyAlignment="1" applyProtection="1">
      <alignment horizontal="right" vertical="center" wrapText="1"/>
      <protection locked="0"/>
    </xf>
    <xf numFmtId="4" fontId="35" fillId="0" borderId="32" xfId="0" applyNumberFormat="1" applyFont="1" applyBorder="1" applyAlignment="1" applyProtection="1">
      <alignment horizontal="right" vertical="center" wrapText="1"/>
      <protection locked="0"/>
    </xf>
    <xf numFmtId="4" fontId="35" fillId="0" borderId="19" xfId="0" applyNumberFormat="1" applyFont="1" applyBorder="1" applyAlignment="1" applyProtection="1">
      <alignment horizontal="right" vertical="center" wrapText="1"/>
      <protection locked="0"/>
    </xf>
    <xf numFmtId="4" fontId="35" fillId="0" borderId="79" xfId="0" applyNumberFormat="1" applyFont="1" applyBorder="1" applyAlignment="1" applyProtection="1">
      <alignment horizontal="right" vertical="center" wrapText="1"/>
      <protection locked="0"/>
    </xf>
    <xf numFmtId="4" fontId="52" fillId="0" borderId="0" xfId="0" applyNumberFormat="1" applyFont="1" applyAlignment="1">
      <alignment horizontal="left"/>
    </xf>
    <xf numFmtId="4" fontId="52" fillId="0" borderId="0" xfId="0" applyNumberFormat="1" applyFont="1" applyAlignment="1">
      <alignment horizontal="left" vertical="top"/>
    </xf>
    <xf numFmtId="4" fontId="54" fillId="0" borderId="0" xfId="0" applyNumberFormat="1" applyFont="1" applyAlignment="1">
      <alignment vertical="top"/>
    </xf>
    <xf numFmtId="0" fontId="56" fillId="0" borderId="14" xfId="0" applyFont="1" applyBorder="1" applyAlignment="1">
      <alignment horizontal="center" wrapText="1"/>
    </xf>
    <xf numFmtId="4" fontId="54" fillId="0" borderId="0" xfId="0" applyNumberFormat="1" applyFont="1" applyAlignment="1">
      <alignment vertical="center"/>
    </xf>
    <xf numFmtId="0" fontId="61" fillId="0" borderId="0" xfId="40" applyFont="1" applyAlignment="1">
      <alignment vertical="center" wrapText="1"/>
    </xf>
    <xf numFmtId="0" fontId="61" fillId="0" borderId="0" xfId="40" applyFont="1" applyAlignment="1">
      <alignment vertical="center"/>
    </xf>
    <xf numFmtId="0" fontId="62" fillId="43" borderId="15" xfId="40" applyFont="1" applyFill="1" applyBorder="1" applyAlignment="1">
      <alignment horizontal="center" vertical="center" wrapText="1"/>
    </xf>
    <xf numFmtId="4" fontId="62" fillId="43" borderId="15" xfId="40" applyNumberFormat="1" applyFont="1" applyFill="1" applyBorder="1" applyAlignment="1">
      <alignment horizontal="center" vertical="center" wrapText="1"/>
    </xf>
    <xf numFmtId="0" fontId="62" fillId="43" borderId="16" xfId="40" applyFont="1" applyFill="1" applyBorder="1" applyAlignment="1">
      <alignment horizontal="center" vertical="center" wrapText="1"/>
    </xf>
    <xf numFmtId="0" fontId="62" fillId="0" borderId="17" xfId="40" applyFont="1" applyBorder="1" applyAlignment="1">
      <alignment horizontal="center" vertical="center"/>
    </xf>
    <xf numFmtId="4" fontId="62" fillId="0" borderId="17" xfId="40" applyNumberFormat="1" applyFont="1" applyBorder="1" applyAlignment="1">
      <alignment horizontal="center" vertical="center" wrapText="1"/>
    </xf>
    <xf numFmtId="0" fontId="62" fillId="0" borderId="18" xfId="40" applyFont="1" applyBorder="1" applyAlignment="1">
      <alignment horizontal="center" vertical="center" wrapText="1"/>
    </xf>
    <xf numFmtId="0" fontId="62" fillId="43" borderId="19" xfId="40" applyFont="1" applyFill="1" applyBorder="1" applyAlignment="1">
      <alignment vertical="center" wrapText="1"/>
    </xf>
    <xf numFmtId="4" fontId="62" fillId="43" borderId="19" xfId="40" applyNumberFormat="1" applyFont="1" applyFill="1" applyBorder="1" applyAlignment="1">
      <alignment vertical="center"/>
    </xf>
    <xf numFmtId="4" fontId="62" fillId="43" borderId="20" xfId="40" applyNumberFormat="1" applyFont="1" applyFill="1" applyBorder="1" applyAlignment="1">
      <alignment vertical="center"/>
    </xf>
    <xf numFmtId="4" fontId="53" fillId="0" borderId="0" xfId="0" applyNumberFormat="1" applyFont="1" applyAlignment="1">
      <alignment horizontal="right" wrapText="1"/>
    </xf>
    <xf numFmtId="4" fontId="53" fillId="0" borderId="0" xfId="0" applyNumberFormat="1" applyFont="1" applyAlignment="1">
      <alignment vertical="center" wrapText="1"/>
    </xf>
    <xf numFmtId="0" fontId="62" fillId="0" borderId="21" xfId="40" applyFont="1" applyBorder="1" applyAlignment="1">
      <alignment vertical="center" wrapText="1"/>
    </xf>
    <xf numFmtId="4" fontId="62" fillId="0" borderId="21" xfId="40" applyNumberFormat="1" applyFont="1" applyBorder="1" applyAlignment="1">
      <alignment vertical="center"/>
    </xf>
    <xf numFmtId="4" fontId="62" fillId="0" borderId="22" xfId="40" applyNumberFormat="1" applyFont="1" applyBorder="1" applyAlignment="1">
      <alignment vertical="center"/>
    </xf>
    <xf numFmtId="0" fontId="61" fillId="0" borderId="72" xfId="40" applyFont="1" applyBorder="1" applyAlignment="1">
      <alignment vertical="center" wrapText="1"/>
    </xf>
    <xf numFmtId="4" fontId="61" fillId="0" borderId="72" xfId="40" applyNumberFormat="1" applyFont="1" applyBorder="1" applyAlignment="1" applyProtection="1">
      <alignment vertical="center"/>
      <protection locked="0"/>
    </xf>
    <xf numFmtId="4" fontId="61" fillId="0" borderId="73" xfId="40" applyNumberFormat="1" applyFont="1" applyBorder="1" applyAlignment="1">
      <alignment vertical="center"/>
    </xf>
    <xf numFmtId="0" fontId="61" fillId="0" borderId="72" xfId="40" quotePrefix="1" applyFont="1" applyBorder="1" applyAlignment="1" applyProtection="1">
      <alignment vertical="center" wrapText="1"/>
      <protection locked="0"/>
    </xf>
    <xf numFmtId="0" fontId="62" fillId="43" borderId="23" xfId="40" applyFont="1" applyFill="1" applyBorder="1" applyAlignment="1">
      <alignment vertical="center" wrapText="1"/>
    </xf>
    <xf numFmtId="4" fontId="62" fillId="43" borderId="23" xfId="40" applyNumberFormat="1" applyFont="1" applyFill="1" applyBorder="1" applyAlignment="1">
      <alignment vertical="center"/>
    </xf>
    <xf numFmtId="4" fontId="62" fillId="43" borderId="24" xfId="40" applyNumberFormat="1" applyFont="1" applyFill="1" applyBorder="1" applyAlignment="1">
      <alignment vertical="center"/>
    </xf>
    <xf numFmtId="0" fontId="62" fillId="0" borderId="64" xfId="40" applyFont="1" applyBorder="1" applyAlignment="1">
      <alignment horizontal="centerContinuous" vertical="center"/>
    </xf>
    <xf numFmtId="0" fontId="61" fillId="0" borderId="18" xfId="40" applyFont="1" applyBorder="1" applyAlignment="1">
      <alignment vertical="center"/>
    </xf>
    <xf numFmtId="4" fontId="63" fillId="0" borderId="21" xfId="40" applyNumberFormat="1" applyFont="1" applyBorder="1" applyAlignment="1">
      <alignment vertical="center"/>
    </xf>
    <xf numFmtId="0" fontId="64" fillId="0" borderId="0" xfId="40" applyFont="1"/>
    <xf numFmtId="0" fontId="5" fillId="0" borderId="0" xfId="40"/>
    <xf numFmtId="0" fontId="5" fillId="42" borderId="0" xfId="40" applyFill="1"/>
    <xf numFmtId="0" fontId="66" fillId="0" borderId="70" xfId="40" applyFont="1" applyBorder="1" applyProtection="1">
      <protection locked="0" hidden="1"/>
    </xf>
    <xf numFmtId="0" fontId="5" fillId="42" borderId="66" xfId="40" applyFill="1" applyBorder="1" applyProtection="1">
      <protection locked="0" hidden="1"/>
    </xf>
    <xf numFmtId="0" fontId="66" fillId="0" borderId="64" xfId="40" applyFont="1" applyBorder="1" applyProtection="1">
      <protection locked="0" hidden="1"/>
    </xf>
    <xf numFmtId="0" fontId="65" fillId="42" borderId="18" xfId="40" applyFont="1" applyFill="1" applyBorder="1" applyProtection="1">
      <protection locked="0" hidden="1"/>
    </xf>
    <xf numFmtId="0" fontId="65" fillId="0" borderId="64" xfId="40" applyFont="1" applyBorder="1" applyProtection="1">
      <protection locked="0" hidden="1"/>
    </xf>
    <xf numFmtId="0" fontId="68" fillId="0" borderId="64" xfId="40" applyFont="1" applyBorder="1" applyProtection="1">
      <protection locked="0" hidden="1"/>
    </xf>
    <xf numFmtId="0" fontId="70" fillId="42" borderId="28" xfId="40" applyFont="1" applyFill="1" applyBorder="1" applyProtection="1">
      <protection locked="0" hidden="1"/>
    </xf>
    <xf numFmtId="0" fontId="65" fillId="0" borderId="55" xfId="40" applyFont="1" applyBorder="1"/>
    <xf numFmtId="0" fontId="70" fillId="42" borderId="18" xfId="40" applyFont="1" applyFill="1" applyBorder="1" applyProtection="1">
      <protection locked="0" hidden="1"/>
    </xf>
    <xf numFmtId="0" fontId="5" fillId="42" borderId="0" xfId="40" applyFill="1" applyProtection="1">
      <protection locked="0" hidden="1"/>
    </xf>
    <xf numFmtId="0" fontId="5" fillId="42" borderId="18" xfId="40" applyFill="1" applyBorder="1" applyProtection="1">
      <protection locked="0" hidden="1"/>
    </xf>
    <xf numFmtId="49" fontId="64" fillId="0" borderId="77" xfId="40" applyNumberFormat="1" applyFont="1" applyBorder="1" applyAlignment="1" applyProtection="1">
      <alignment horizontal="center"/>
      <protection locked="0" hidden="1"/>
    </xf>
    <xf numFmtId="0" fontId="5" fillId="42" borderId="13" xfId="40" applyFill="1" applyBorder="1" applyProtection="1">
      <protection locked="0" hidden="1"/>
    </xf>
    <xf numFmtId="0" fontId="5" fillId="0" borderId="64" xfId="40" applyBorder="1" applyProtection="1">
      <protection locked="0" hidden="1"/>
    </xf>
    <xf numFmtId="0" fontId="68" fillId="0" borderId="57" xfId="40" applyFont="1" applyBorder="1" applyAlignment="1" applyProtection="1">
      <alignment horizontal="center" vertical="center" wrapText="1"/>
      <protection locked="0" hidden="1"/>
    </xf>
    <xf numFmtId="0" fontId="68" fillId="42" borderId="15" xfId="40" applyFont="1" applyFill="1" applyBorder="1" applyAlignment="1" applyProtection="1">
      <alignment horizontal="center" vertical="top" wrapText="1"/>
      <protection locked="0" hidden="1"/>
    </xf>
    <xf numFmtId="0" fontId="68" fillId="42" borderId="15" xfId="40" applyFont="1" applyFill="1" applyBorder="1" applyAlignment="1" applyProtection="1">
      <alignment horizontal="center" vertical="center" wrapText="1"/>
      <protection locked="0" hidden="1"/>
    </xf>
    <xf numFmtId="0" fontId="68" fillId="42" borderId="16" xfId="40" applyFont="1" applyFill="1" applyBorder="1" applyAlignment="1" applyProtection="1">
      <alignment horizontal="center" vertical="top" wrapText="1"/>
      <protection locked="0" hidden="1"/>
    </xf>
    <xf numFmtId="0" fontId="5" fillId="0" borderId="0" xfId="40" applyAlignment="1">
      <alignment wrapText="1"/>
    </xf>
    <xf numFmtId="0" fontId="68" fillId="0" borderId="55" xfId="40" applyFont="1" applyBorder="1" applyAlignment="1" applyProtection="1">
      <alignment wrapText="1"/>
      <protection locked="0" hidden="1"/>
    </xf>
    <xf numFmtId="0" fontId="68" fillId="0" borderId="65" xfId="40" applyFont="1" applyBorder="1" applyAlignment="1" applyProtection="1">
      <alignment wrapText="1"/>
      <protection locked="0" hidden="1"/>
    </xf>
    <xf numFmtId="0" fontId="68" fillId="0" borderId="56" xfId="40" applyFont="1" applyBorder="1" applyAlignment="1" applyProtection="1">
      <alignment wrapText="1"/>
      <protection locked="0" hidden="1"/>
    </xf>
    <xf numFmtId="0" fontId="70" fillId="0" borderId="56" xfId="40" applyFont="1" applyBorder="1" applyAlignment="1" applyProtection="1">
      <alignment wrapText="1"/>
      <protection locked="0" hidden="1"/>
    </xf>
    <xf numFmtId="0" fontId="70" fillId="0" borderId="65" xfId="40" applyFont="1" applyBorder="1" applyAlignment="1" applyProtection="1">
      <alignment wrapText="1"/>
      <protection locked="0" hidden="1"/>
    </xf>
    <xf numFmtId="0" fontId="5" fillId="0" borderId="56" xfId="40" applyBorder="1" applyAlignment="1" applyProtection="1">
      <alignment wrapText="1"/>
      <protection locked="0" hidden="1"/>
    </xf>
    <xf numFmtId="0" fontId="5" fillId="0" borderId="65" xfId="40" applyBorder="1" applyAlignment="1" applyProtection="1">
      <alignment wrapText="1"/>
      <protection locked="0" hidden="1"/>
    </xf>
    <xf numFmtId="0" fontId="65" fillId="0" borderId="65" xfId="40" applyFont="1" applyBorder="1" applyAlignment="1" applyProtection="1">
      <alignment wrapText="1"/>
      <protection locked="0" hidden="1"/>
    </xf>
    <xf numFmtId="0" fontId="74" fillId="0" borderId="64" xfId="40" applyFont="1" applyBorder="1" applyAlignment="1">
      <alignment horizontal="left" wrapText="1"/>
    </xf>
    <xf numFmtId="0" fontId="74" fillId="0" borderId="65" xfId="40" applyFont="1" applyBorder="1" applyAlignment="1">
      <alignment horizontal="left" wrapText="1"/>
    </xf>
    <xf numFmtId="0" fontId="73" fillId="0" borderId="65" xfId="40" applyFont="1" applyBorder="1" applyAlignment="1">
      <alignment horizontal="left" wrapText="1"/>
    </xf>
    <xf numFmtId="0" fontId="73" fillId="0" borderId="56" xfId="40" applyFont="1" applyBorder="1" applyAlignment="1">
      <alignment horizontal="left" wrapText="1"/>
    </xf>
    <xf numFmtId="0" fontId="73" fillId="0" borderId="64" xfId="40" applyFont="1" applyBorder="1" applyAlignment="1">
      <alignment wrapText="1"/>
    </xf>
    <xf numFmtId="0" fontId="73" fillId="0" borderId="65" xfId="40" applyFont="1" applyBorder="1" applyAlignment="1">
      <alignment wrapText="1"/>
    </xf>
    <xf numFmtId="0" fontId="74" fillId="0" borderId="65" xfId="40" applyFont="1" applyBorder="1" applyAlignment="1">
      <alignment wrapText="1"/>
    </xf>
    <xf numFmtId="0" fontId="74" fillId="0" borderId="56" xfId="40" applyFont="1" applyBorder="1" applyAlignment="1">
      <alignment wrapText="1"/>
    </xf>
    <xf numFmtId="0" fontId="65" fillId="0" borderId="0" xfId="40" applyFont="1" applyAlignment="1">
      <alignment wrapText="1"/>
    </xf>
    <xf numFmtId="0" fontId="68" fillId="0" borderId="57" xfId="40" applyFont="1" applyBorder="1" applyAlignment="1">
      <alignment vertical="center" wrapText="1"/>
    </xf>
    <xf numFmtId="4" fontId="5" fillId="0" borderId="0" xfId="40" applyNumberFormat="1" applyAlignment="1">
      <alignment wrapText="1"/>
    </xf>
    <xf numFmtId="0" fontId="70" fillId="0" borderId="0" xfId="40" applyFont="1"/>
    <xf numFmtId="0" fontId="65" fillId="0" borderId="0" xfId="40" applyFont="1"/>
    <xf numFmtId="0" fontId="70" fillId="0" borderId="50" xfId="40" applyFont="1" applyBorder="1"/>
    <xf numFmtId="14" fontId="70" fillId="0" borderId="50" xfId="40" applyNumberFormat="1" applyFont="1" applyBorder="1" applyAlignment="1" applyProtection="1">
      <alignment horizontal="center"/>
      <protection locked="0"/>
    </xf>
    <xf numFmtId="4" fontId="70" fillId="0" borderId="0" xfId="40" applyNumberFormat="1" applyFont="1"/>
    <xf numFmtId="0" fontId="68" fillId="0" borderId="0" xfId="40" applyFont="1"/>
    <xf numFmtId="0" fontId="68" fillId="0" borderId="0" xfId="40" applyFont="1" applyAlignment="1">
      <alignment horizontal="right"/>
    </xf>
    <xf numFmtId="4" fontId="5" fillId="0" borderId="0" xfId="40" applyNumberFormat="1"/>
    <xf numFmtId="0" fontId="76" fillId="0" borderId="44" xfId="40" applyFont="1" applyBorder="1" applyAlignment="1" applyProtection="1">
      <alignment wrapText="1"/>
      <protection locked="0" hidden="1"/>
    </xf>
    <xf numFmtId="0" fontId="76" fillId="0" borderId="21" xfId="40" applyFont="1" applyBorder="1" applyAlignment="1" applyProtection="1">
      <alignment wrapText="1"/>
      <protection locked="0" hidden="1"/>
    </xf>
    <xf numFmtId="0" fontId="80" fillId="0" borderId="17" xfId="40" applyFont="1" applyBorder="1" applyAlignment="1">
      <alignment wrapText="1"/>
    </xf>
    <xf numFmtId="0" fontId="80" fillId="0" borderId="44" xfId="40" applyFont="1" applyBorder="1" applyAlignment="1">
      <alignment wrapText="1"/>
    </xf>
    <xf numFmtId="0" fontId="80" fillId="0" borderId="21" xfId="40" applyFont="1" applyBorder="1" applyAlignment="1">
      <alignment wrapText="1"/>
    </xf>
    <xf numFmtId="4" fontId="71" fillId="42" borderId="15" xfId="40" applyNumberFormat="1" applyFont="1" applyFill="1" applyBorder="1" applyAlignment="1">
      <alignment vertical="center" wrapText="1"/>
    </xf>
    <xf numFmtId="0" fontId="71" fillId="42" borderId="15" xfId="40" applyFont="1" applyFill="1" applyBorder="1" applyAlignment="1">
      <alignment vertical="center" wrapText="1"/>
    </xf>
    <xf numFmtId="4" fontId="71" fillId="42" borderId="16" xfId="40" applyNumberFormat="1" applyFont="1" applyFill="1" applyBorder="1" applyAlignment="1">
      <alignment vertical="center" wrapText="1"/>
    </xf>
    <xf numFmtId="4" fontId="5" fillId="46" borderId="0" xfId="40" applyNumberFormat="1" applyFill="1" applyAlignment="1">
      <alignment wrapText="1"/>
    </xf>
    <xf numFmtId="4" fontId="71" fillId="0" borderId="46" xfId="40" applyNumberFormat="1" applyFont="1" applyBorder="1" applyAlignment="1" applyProtection="1">
      <alignment vertical="center" wrapText="1"/>
      <protection locked="0" hidden="1"/>
    </xf>
    <xf numFmtId="4" fontId="51" fillId="0" borderId="46" xfId="40" applyNumberFormat="1" applyFont="1" applyBorder="1" applyAlignment="1" applyProtection="1">
      <alignment vertical="center" wrapText="1"/>
      <protection locked="0" hidden="1"/>
    </xf>
    <xf numFmtId="4" fontId="5" fillId="0" borderId="44" xfId="40" applyNumberFormat="1" applyBorder="1" applyAlignment="1" applyProtection="1">
      <alignment vertical="center" wrapText="1"/>
      <protection locked="0" hidden="1"/>
    </xf>
    <xf numFmtId="4" fontId="4" fillId="0" borderId="44" xfId="40" applyNumberFormat="1" applyFont="1" applyBorder="1" applyAlignment="1">
      <alignment vertical="center" wrapText="1"/>
    </xf>
    <xf numFmtId="4" fontId="51" fillId="0" borderId="44" xfId="40" applyNumberFormat="1" applyFont="1" applyBorder="1" applyAlignment="1">
      <alignment vertical="center" wrapText="1"/>
    </xf>
    <xf numFmtId="4" fontId="71" fillId="0" borderId="46" xfId="40" applyNumberFormat="1" applyFont="1" applyBorder="1" applyAlignment="1">
      <alignment vertical="center" wrapText="1"/>
    </xf>
    <xf numFmtId="4" fontId="71" fillId="0" borderId="22" xfId="40" applyNumberFormat="1" applyFont="1" applyBorder="1" applyAlignment="1" applyProtection="1">
      <alignment vertical="center" wrapText="1"/>
      <protection locked="0" hidden="1"/>
    </xf>
    <xf numFmtId="4" fontId="72" fillId="0" borderId="21" xfId="40" applyNumberFormat="1" applyFont="1" applyBorder="1" applyAlignment="1">
      <alignment wrapText="1"/>
    </xf>
    <xf numFmtId="4" fontId="65" fillId="0" borderId="0" xfId="40" applyNumberFormat="1" applyFont="1" applyAlignment="1">
      <alignment wrapText="1"/>
    </xf>
    <xf numFmtId="4" fontId="65" fillId="0" borderId="0" xfId="40" applyNumberFormat="1" applyFont="1"/>
    <xf numFmtId="0" fontId="5" fillId="46" borderId="0" xfId="40" applyFill="1"/>
    <xf numFmtId="0" fontId="5" fillId="46" borderId="66" xfId="40" applyFill="1" applyBorder="1" applyProtection="1">
      <protection locked="0" hidden="1"/>
    </xf>
    <xf numFmtId="0" fontId="5" fillId="46" borderId="18" xfId="40" applyFill="1" applyBorder="1" applyProtection="1">
      <protection locked="0" hidden="1"/>
    </xf>
    <xf numFmtId="0" fontId="65" fillId="46" borderId="18" xfId="40" applyFont="1" applyFill="1" applyBorder="1" applyProtection="1">
      <protection locked="0" hidden="1"/>
    </xf>
    <xf numFmtId="0" fontId="68" fillId="46" borderId="18" xfId="40" applyFont="1" applyFill="1" applyBorder="1" applyProtection="1">
      <protection locked="0" hidden="1"/>
    </xf>
    <xf numFmtId="0" fontId="68" fillId="46" borderId="28" xfId="40" applyFont="1" applyFill="1" applyBorder="1" applyProtection="1">
      <protection locked="0" hidden="1"/>
    </xf>
    <xf numFmtId="0" fontId="5" fillId="46" borderId="13" xfId="40" applyFill="1" applyBorder="1" applyProtection="1">
      <protection locked="0" hidden="1"/>
    </xf>
    <xf numFmtId="0" fontId="5" fillId="46" borderId="0" xfId="40" applyFill="1" applyProtection="1">
      <protection locked="0" hidden="1"/>
    </xf>
    <xf numFmtId="0" fontId="68" fillId="46" borderId="15" xfId="40" applyFont="1" applyFill="1" applyBorder="1" applyAlignment="1" applyProtection="1">
      <alignment horizontal="center" vertical="top" wrapText="1"/>
      <protection locked="0" hidden="1"/>
    </xf>
    <xf numFmtId="0" fontId="70" fillId="46" borderId="0" xfId="40" applyFont="1" applyFill="1"/>
    <xf numFmtId="0" fontId="70" fillId="46" borderId="0" xfId="40" applyFont="1" applyFill="1" applyProtection="1">
      <protection locked="0"/>
    </xf>
    <xf numFmtId="0" fontId="68" fillId="46" borderId="0" xfId="40" applyFont="1" applyFill="1" applyProtection="1">
      <protection locked="0"/>
    </xf>
    <xf numFmtId="0" fontId="65" fillId="46" borderId="0" xfId="40" applyFont="1" applyFill="1"/>
    <xf numFmtId="0" fontId="66" fillId="46" borderId="70" xfId="40" applyFont="1" applyFill="1" applyBorder="1" applyProtection="1">
      <protection locked="0" hidden="1"/>
    </xf>
    <xf numFmtId="0" fontId="65" fillId="46" borderId="64" xfId="40" applyFont="1" applyFill="1" applyBorder="1" applyAlignment="1" applyProtection="1">
      <alignment horizontal="left"/>
      <protection locked="0" hidden="1"/>
    </xf>
    <xf numFmtId="0" fontId="70" fillId="46" borderId="55" xfId="40" applyFont="1" applyFill="1" applyBorder="1" applyProtection="1">
      <protection locked="0" hidden="1"/>
    </xf>
    <xf numFmtId="0" fontId="66" fillId="46" borderId="64" xfId="40" applyFont="1" applyFill="1" applyBorder="1" applyProtection="1">
      <protection locked="0" hidden="1"/>
    </xf>
    <xf numFmtId="0" fontId="5" fillId="46" borderId="64" xfId="40" applyFill="1" applyBorder="1" applyProtection="1">
      <protection locked="0" hidden="1"/>
    </xf>
    <xf numFmtId="0" fontId="5" fillId="46" borderId="77" xfId="40" applyFill="1" applyBorder="1" applyProtection="1">
      <protection locked="0" hidden="1"/>
    </xf>
    <xf numFmtId="0" fontId="68" fillId="46" borderId="16" xfId="40" applyFont="1" applyFill="1" applyBorder="1" applyAlignment="1" applyProtection="1">
      <alignment horizontal="center" vertical="top" wrapText="1"/>
      <protection locked="0" hidden="1"/>
    </xf>
    <xf numFmtId="4" fontId="71" fillId="46" borderId="16" xfId="40" applyNumberFormat="1" applyFont="1" applyFill="1" applyBorder="1" applyAlignment="1">
      <alignment vertical="center" wrapText="1"/>
    </xf>
    <xf numFmtId="0" fontId="70" fillId="46" borderId="50" xfId="40" applyFont="1" applyFill="1" applyBorder="1"/>
    <xf numFmtId="4" fontId="68" fillId="0" borderId="49" xfId="40" applyNumberFormat="1" applyFont="1" applyBorder="1" applyAlignment="1" applyProtection="1">
      <alignment vertical="center" wrapText="1"/>
      <protection locked="0" hidden="1"/>
    </xf>
    <xf numFmtId="0" fontId="68" fillId="0" borderId="19" xfId="40" applyFont="1" applyBorder="1" applyAlignment="1" applyProtection="1">
      <alignment wrapText="1"/>
      <protection locked="0" hidden="1"/>
    </xf>
    <xf numFmtId="4" fontId="68" fillId="0" borderId="20" xfId="40" applyNumberFormat="1" applyFont="1" applyBorder="1" applyAlignment="1" applyProtection="1">
      <alignment vertical="center" wrapText="1"/>
      <protection locked="0" hidden="1"/>
    </xf>
    <xf numFmtId="4" fontId="65" fillId="0" borderId="44" xfId="40" applyNumberFormat="1" applyFont="1" applyBorder="1" applyAlignment="1" applyProtection="1">
      <alignment vertical="center" wrapText="1"/>
      <protection locked="0" hidden="1"/>
    </xf>
    <xf numFmtId="0" fontId="71" fillId="0" borderId="44" xfId="40" applyFont="1" applyBorder="1" applyAlignment="1" applyProtection="1">
      <alignment wrapText="1"/>
      <protection locked="0" hidden="1"/>
    </xf>
    <xf numFmtId="4" fontId="72" fillId="0" borderId="21" xfId="40" applyNumberFormat="1" applyFont="1" applyBorder="1" applyAlignment="1" applyProtection="1">
      <alignment vertical="center" wrapText="1"/>
      <protection locked="0" hidden="1"/>
    </xf>
    <xf numFmtId="0" fontId="71" fillId="0" borderId="21" xfId="40" applyFont="1" applyBorder="1" applyAlignment="1" applyProtection="1">
      <alignment wrapText="1"/>
      <protection locked="0" hidden="1"/>
    </xf>
    <xf numFmtId="4" fontId="72" fillId="0" borderId="49" xfId="40" applyNumberFormat="1" applyFont="1" applyBorder="1" applyAlignment="1" applyProtection="1">
      <alignment vertical="center" wrapText="1"/>
      <protection locked="0" hidden="1"/>
    </xf>
    <xf numFmtId="0" fontId="51" fillId="0" borderId="49" xfId="40" applyFont="1" applyBorder="1" applyAlignment="1" applyProtection="1">
      <alignment wrapText="1"/>
      <protection locked="0" hidden="1"/>
    </xf>
    <xf numFmtId="0" fontId="51" fillId="0" borderId="21" xfId="40" applyFont="1" applyBorder="1" applyAlignment="1" applyProtection="1">
      <alignment wrapText="1"/>
      <protection locked="0" hidden="1"/>
    </xf>
    <xf numFmtId="0" fontId="71" fillId="0" borderId="44" xfId="40" applyFont="1" applyBorder="1" applyAlignment="1" applyProtection="1">
      <alignment vertical="center" wrapText="1"/>
      <protection locked="0" hidden="1"/>
    </xf>
    <xf numFmtId="4" fontId="68" fillId="0" borderId="44" xfId="40" applyNumberFormat="1" applyFont="1" applyBorder="1" applyAlignment="1" applyProtection="1">
      <alignment vertical="center" wrapText="1"/>
      <protection locked="0" hidden="1"/>
    </xf>
    <xf numFmtId="4" fontId="68" fillId="0" borderId="21" xfId="40" applyNumberFormat="1" applyFont="1" applyBorder="1" applyAlignment="1" applyProtection="1">
      <alignment vertical="center" wrapText="1"/>
      <protection locked="0" hidden="1"/>
    </xf>
    <xf numFmtId="4" fontId="68" fillId="0" borderId="17" xfId="40" applyNumberFormat="1" applyFont="1" applyBorder="1" applyAlignment="1">
      <alignment vertical="center" wrapText="1"/>
    </xf>
    <xf numFmtId="4" fontId="68" fillId="0" borderId="44" xfId="40" applyNumberFormat="1" applyFont="1" applyBorder="1" applyAlignment="1">
      <alignment vertical="center" wrapText="1"/>
    </xf>
    <xf numFmtId="0" fontId="81" fillId="0" borderId="44" xfId="40" applyFont="1" applyBorder="1" applyAlignment="1">
      <alignment wrapText="1"/>
    </xf>
    <xf numFmtId="4" fontId="72" fillId="0" borderId="44" xfId="40" applyNumberFormat="1" applyFont="1" applyBorder="1" applyAlignment="1">
      <alignment vertical="center" wrapText="1"/>
    </xf>
    <xf numFmtId="0" fontId="76" fillId="0" borderId="21" xfId="40" applyFont="1" applyBorder="1" applyAlignment="1">
      <alignment wrapText="1"/>
    </xf>
    <xf numFmtId="0" fontId="76" fillId="0" borderId="22" xfId="40" applyFont="1" applyBorder="1" applyAlignment="1">
      <alignment wrapText="1"/>
    </xf>
    <xf numFmtId="0" fontId="81" fillId="0" borderId="21" xfId="40" applyFont="1" applyBorder="1" applyAlignment="1">
      <alignment wrapText="1"/>
    </xf>
    <xf numFmtId="4" fontId="51" fillId="0" borderId="22" xfId="40" applyNumberFormat="1" applyFont="1" applyBorder="1" applyAlignment="1">
      <alignment vertical="center" wrapText="1"/>
    </xf>
    <xf numFmtId="4" fontId="51" fillId="0" borderId="46" xfId="40" applyNumberFormat="1" applyFont="1" applyBorder="1" applyAlignment="1">
      <alignment vertical="center" wrapText="1"/>
    </xf>
    <xf numFmtId="0" fontId="80" fillId="0" borderId="23" xfId="40" applyFont="1" applyBorder="1" applyAlignment="1">
      <alignment wrapText="1"/>
    </xf>
    <xf numFmtId="4" fontId="51" fillId="0" borderId="24" xfId="40" applyNumberFormat="1" applyFont="1" applyBorder="1" applyAlignment="1">
      <alignment vertical="center" wrapText="1"/>
    </xf>
    <xf numFmtId="0" fontId="4" fillId="0" borderId="0" xfId="88"/>
    <xf numFmtId="0" fontId="4" fillId="0" borderId="53" xfId="88" applyBorder="1"/>
    <xf numFmtId="0" fontId="4" fillId="0" borderId="129" xfId="88" applyBorder="1"/>
    <xf numFmtId="0" fontId="4" fillId="0" borderId="52" xfId="88" applyBorder="1"/>
    <xf numFmtId="0" fontId="72" fillId="0" borderId="64" xfId="88" applyFont="1" applyBorder="1"/>
    <xf numFmtId="0" fontId="4" fillId="0" borderId="18" xfId="88" applyBorder="1"/>
    <xf numFmtId="0" fontId="4" fillId="0" borderId="17" xfId="88" applyBorder="1"/>
    <xf numFmtId="0" fontId="4" fillId="0" borderId="64" xfId="88" applyBorder="1"/>
    <xf numFmtId="0" fontId="4" fillId="0" borderId="55" xfId="88" applyBorder="1"/>
    <xf numFmtId="0" fontId="4" fillId="0" borderId="50" xfId="88" applyBorder="1"/>
    <xf numFmtId="0" fontId="4" fillId="0" borderId="28" xfId="88" applyBorder="1"/>
    <xf numFmtId="0" fontId="72" fillId="0" borderId="17" xfId="88" applyFont="1" applyBorder="1"/>
    <xf numFmtId="0" fontId="4" fillId="0" borderId="65" xfId="88" applyBorder="1"/>
    <xf numFmtId="0" fontId="4" fillId="0" borderId="45" xfId="88" applyBorder="1"/>
    <xf numFmtId="0" fontId="4" fillId="0" borderId="46" xfId="88" applyBorder="1"/>
    <xf numFmtId="0" fontId="4" fillId="0" borderId="130" xfId="88" applyBorder="1"/>
    <xf numFmtId="49" fontId="72" fillId="0" borderId="64" xfId="88" applyNumberFormat="1" applyFont="1" applyBorder="1"/>
    <xf numFmtId="0" fontId="4" fillId="0" borderId="77" xfId="88" applyBorder="1"/>
    <xf numFmtId="0" fontId="4" fillId="0" borderId="14" xfId="88" applyBorder="1"/>
    <xf numFmtId="0" fontId="4" fillId="0" borderId="13" xfId="88" applyBorder="1"/>
    <xf numFmtId="0" fontId="4" fillId="0" borderId="32" xfId="88" applyBorder="1"/>
    <xf numFmtId="0" fontId="75" fillId="0" borderId="63" xfId="88" applyFont="1" applyBorder="1" applyAlignment="1">
      <alignment horizontal="center" wrapText="1"/>
    </xf>
    <xf numFmtId="0" fontId="4" fillId="0" borderId="131" xfId="88" applyBorder="1"/>
    <xf numFmtId="0" fontId="4" fillId="0" borderId="63" xfId="88" applyBorder="1"/>
    <xf numFmtId="0" fontId="4" fillId="0" borderId="77" xfId="88" applyBorder="1" applyAlignment="1">
      <alignment horizontal="center" vertical="center"/>
    </xf>
    <xf numFmtId="0" fontId="4" fillId="0" borderId="14" xfId="88" applyBorder="1" applyAlignment="1">
      <alignment horizontal="center" vertical="center"/>
    </xf>
    <xf numFmtId="0" fontId="4" fillId="0" borderId="13" xfId="88" applyBorder="1" applyAlignment="1">
      <alignment horizontal="center" vertical="center"/>
    </xf>
    <xf numFmtId="0" fontId="4" fillId="0" borderId="0" xfId="88" applyAlignment="1">
      <alignment horizontal="center" vertical="center"/>
    </xf>
    <xf numFmtId="0" fontId="72" fillId="0" borderId="63" xfId="88" applyFont="1" applyBorder="1" applyAlignment="1">
      <alignment horizontal="center" vertical="center" wrapText="1"/>
    </xf>
    <xf numFmtId="0" fontId="72" fillId="0" borderId="0" xfId="88" applyFont="1" applyAlignment="1">
      <alignment horizontal="center" vertical="center" wrapText="1"/>
    </xf>
    <xf numFmtId="0" fontId="4" fillId="0" borderId="27" xfId="88" applyBorder="1"/>
    <xf numFmtId="0" fontId="4" fillId="0" borderId="11" xfId="88" applyBorder="1"/>
    <xf numFmtId="0" fontId="4" fillId="0" borderId="75" xfId="88" applyBorder="1" applyAlignment="1">
      <alignment horizontal="right"/>
    </xf>
    <xf numFmtId="0" fontId="4" fillId="0" borderId="75" xfId="88" applyBorder="1"/>
    <xf numFmtId="0" fontId="72" fillId="0" borderId="54" xfId="88" applyFont="1" applyBorder="1"/>
    <xf numFmtId="0" fontId="72" fillId="0" borderId="36" xfId="88" applyFont="1" applyBorder="1"/>
    <xf numFmtId="0" fontId="72" fillId="0" borderId="58" xfId="88" applyFont="1" applyBorder="1"/>
    <xf numFmtId="0" fontId="72" fillId="0" borderId="80" xfId="88" applyFont="1" applyBorder="1"/>
    <xf numFmtId="4" fontId="72" fillId="0" borderId="62" xfId="88" applyNumberFormat="1" applyFont="1" applyBorder="1" applyAlignment="1">
      <alignment horizontal="right"/>
    </xf>
    <xf numFmtId="4" fontId="72" fillId="0" borderId="79" xfId="88" applyNumberFormat="1" applyFont="1" applyBorder="1" applyAlignment="1">
      <alignment horizontal="right"/>
    </xf>
    <xf numFmtId="0" fontId="72" fillId="0" borderId="0" xfId="88" applyFont="1"/>
    <xf numFmtId="4" fontId="72" fillId="0" borderId="0" xfId="88" applyNumberFormat="1" applyFont="1"/>
    <xf numFmtId="0" fontId="4" fillId="0" borderId="29" xfId="88" applyBorder="1"/>
    <xf numFmtId="0" fontId="4" fillId="0" borderId="40" xfId="88" applyBorder="1"/>
    <xf numFmtId="4" fontId="4" fillId="0" borderId="60" xfId="88" applyNumberFormat="1" applyBorder="1" applyAlignment="1">
      <alignment horizontal="right"/>
    </xf>
    <xf numFmtId="4" fontId="4" fillId="0" borderId="25" xfId="88" applyNumberFormat="1" applyBorder="1"/>
    <xf numFmtId="4" fontId="4" fillId="0" borderId="0" xfId="88" applyNumberFormat="1"/>
    <xf numFmtId="0" fontId="4" fillId="0" borderId="55" xfId="88" applyBorder="1" applyAlignment="1">
      <alignment vertical="top"/>
    </xf>
    <xf numFmtId="0" fontId="4" fillId="46" borderId="29" xfId="88" applyFill="1" applyBorder="1"/>
    <xf numFmtId="0" fontId="4" fillId="46" borderId="11" xfId="88" applyFill="1" applyBorder="1"/>
    <xf numFmtId="0" fontId="4" fillId="46" borderId="40" xfId="88" applyFill="1" applyBorder="1"/>
    <xf numFmtId="4" fontId="4" fillId="46" borderId="60" xfId="88" applyNumberFormat="1" applyFill="1" applyBorder="1" applyAlignment="1">
      <alignment horizontal="right"/>
    </xf>
    <xf numFmtId="4" fontId="4" fillId="46" borderId="25" xfId="88" applyNumberFormat="1" applyFill="1" applyBorder="1"/>
    <xf numFmtId="0" fontId="72" fillId="0" borderId="56" xfId="88" applyFont="1" applyBorder="1" applyAlignment="1">
      <alignment wrapText="1"/>
    </xf>
    <xf numFmtId="0" fontId="72" fillId="46" borderId="40" xfId="88" applyFont="1" applyFill="1" applyBorder="1"/>
    <xf numFmtId="4" fontId="72" fillId="46" borderId="60" xfId="88" applyNumberFormat="1" applyFont="1" applyFill="1" applyBorder="1" applyAlignment="1">
      <alignment horizontal="right"/>
    </xf>
    <xf numFmtId="168" fontId="72" fillId="0" borderId="25" xfId="88" applyNumberFormat="1" applyFont="1" applyBorder="1" applyAlignment="1">
      <alignment vertical="center"/>
    </xf>
    <xf numFmtId="164" fontId="51" fillId="0" borderId="25" xfId="88" applyNumberFormat="1" applyFont="1" applyBorder="1" applyAlignment="1">
      <alignment vertical="center"/>
    </xf>
    <xf numFmtId="164" fontId="51" fillId="46" borderId="25" xfId="88" applyNumberFormat="1" applyFont="1" applyFill="1" applyBorder="1" applyAlignment="1">
      <alignment vertical="center"/>
    </xf>
    <xf numFmtId="4" fontId="51" fillId="46" borderId="60" xfId="88" applyNumberFormat="1" applyFont="1" applyFill="1" applyBorder="1" applyAlignment="1">
      <alignment horizontal="right"/>
    </xf>
    <xf numFmtId="0" fontId="4" fillId="0" borderId="56" xfId="88" applyBorder="1"/>
    <xf numFmtId="0" fontId="4" fillId="0" borderId="25" xfId="88" applyBorder="1"/>
    <xf numFmtId="168" fontId="77" fillId="0" borderId="25" xfId="88" applyNumberFormat="1" applyFont="1" applyBorder="1" applyAlignment="1">
      <alignment vertical="center"/>
    </xf>
    <xf numFmtId="0" fontId="72" fillId="0" borderId="55" xfId="88" applyFont="1" applyBorder="1"/>
    <xf numFmtId="0" fontId="72" fillId="0" borderId="29" xfId="88" applyFont="1" applyBorder="1"/>
    <xf numFmtId="0" fontId="72" fillId="0" borderId="11" xfId="88" applyFont="1" applyBorder="1"/>
    <xf numFmtId="0" fontId="72" fillId="0" borderId="40" xfId="88" applyFont="1" applyBorder="1"/>
    <xf numFmtId="4" fontId="72" fillId="0" borderId="60" xfId="88" applyNumberFormat="1" applyFont="1" applyBorder="1" applyAlignment="1">
      <alignment horizontal="right"/>
    </xf>
    <xf numFmtId="164" fontId="26" fillId="0" borderId="25" xfId="88" applyNumberFormat="1" applyFont="1" applyBorder="1" applyAlignment="1">
      <alignment vertical="center"/>
    </xf>
    <xf numFmtId="164" fontId="77" fillId="0" borderId="25" xfId="88" applyNumberFormat="1" applyFont="1" applyBorder="1" applyAlignment="1">
      <alignment vertical="center"/>
    </xf>
    <xf numFmtId="4" fontId="60" fillId="0" borderId="25" xfId="88" applyNumberFormat="1" applyFont="1" applyBorder="1" applyAlignment="1" applyProtection="1">
      <alignment vertical="center"/>
      <protection locked="0"/>
    </xf>
    <xf numFmtId="164" fontId="4" fillId="0" borderId="25" xfId="88" applyNumberFormat="1" applyBorder="1" applyAlignment="1">
      <alignment vertical="center"/>
    </xf>
    <xf numFmtId="164" fontId="72" fillId="0" borderId="25" xfId="88" applyNumberFormat="1" applyFont="1" applyBorder="1" applyAlignment="1">
      <alignment vertical="center"/>
    </xf>
    <xf numFmtId="0" fontId="72" fillId="0" borderId="57" xfId="88" applyFont="1" applyBorder="1"/>
    <xf numFmtId="0" fontId="72" fillId="0" borderId="30" xfId="88" applyFont="1" applyBorder="1"/>
    <xf numFmtId="0" fontId="72" fillId="0" borderId="31" xfId="88" applyFont="1" applyBorder="1"/>
    <xf numFmtId="0" fontId="72" fillId="0" borderId="81" xfId="88" applyFont="1" applyBorder="1"/>
    <xf numFmtId="4" fontId="72" fillId="0" borderId="37" xfId="88" applyNumberFormat="1" applyFont="1" applyBorder="1" applyAlignment="1">
      <alignment horizontal="right"/>
    </xf>
    <xf numFmtId="4" fontId="72" fillId="0" borderId="84" xfId="88" applyNumberFormat="1" applyFont="1" applyBorder="1"/>
    <xf numFmtId="0" fontId="78" fillId="0" borderId="0" xfId="88" applyFont="1"/>
    <xf numFmtId="0" fontId="4" fillId="0" borderId="0" xfId="88" applyAlignment="1">
      <alignment horizontal="center"/>
    </xf>
    <xf numFmtId="0" fontId="4" fillId="0" borderId="0" xfId="88" applyAlignment="1">
      <alignment horizontal="left"/>
    </xf>
    <xf numFmtId="0" fontId="79" fillId="0" borderId="0" xfId="88" applyFont="1"/>
    <xf numFmtId="0" fontId="32" fillId="0" borderId="0" xfId="88" applyFont="1" applyAlignment="1">
      <alignment horizontal="right"/>
    </xf>
    <xf numFmtId="0" fontId="65" fillId="46" borderId="17" xfId="40" applyFont="1" applyFill="1" applyBorder="1" applyAlignment="1" applyProtection="1">
      <alignment horizontal="left"/>
      <protection locked="0" hidden="1"/>
    </xf>
    <xf numFmtId="0" fontId="75" fillId="0" borderId="63" xfId="88" applyFont="1" applyBorder="1"/>
    <xf numFmtId="0" fontId="72" fillId="0" borderId="63" xfId="88" applyFont="1" applyBorder="1" applyAlignment="1">
      <alignment horizontal="center" wrapText="1"/>
    </xf>
    <xf numFmtId="0" fontId="72" fillId="0" borderId="39" xfId="88" applyFont="1" applyBorder="1"/>
    <xf numFmtId="0" fontId="72" fillId="0" borderId="20" xfId="88" applyFont="1" applyBorder="1"/>
    <xf numFmtId="0" fontId="72" fillId="0" borderId="53" xfId="88" applyFont="1" applyBorder="1"/>
    <xf numFmtId="4" fontId="72" fillId="0" borderId="79" xfId="88" applyNumberFormat="1" applyFont="1" applyBorder="1" applyAlignment="1">
      <alignment horizontal="center"/>
    </xf>
    <xf numFmtId="4" fontId="72" fillId="0" borderId="62" xfId="88" applyNumberFormat="1" applyFont="1" applyBorder="1"/>
    <xf numFmtId="0" fontId="72" fillId="0" borderId="50" xfId="88" applyFont="1" applyBorder="1"/>
    <xf numFmtId="0" fontId="72" fillId="0" borderId="28" xfId="88" applyFont="1" applyBorder="1"/>
    <xf numFmtId="4" fontId="72" fillId="0" borderId="25" xfId="88" applyNumberFormat="1" applyFont="1" applyBorder="1" applyAlignment="1">
      <alignment vertical="center"/>
    </xf>
    <xf numFmtId="4" fontId="72" fillId="0" borderId="60" xfId="88" applyNumberFormat="1" applyFont="1" applyBorder="1"/>
    <xf numFmtId="4" fontId="4" fillId="0" borderId="25" xfId="88" applyNumberFormat="1" applyBorder="1" applyAlignment="1">
      <alignment vertical="center"/>
    </xf>
    <xf numFmtId="4" fontId="72" fillId="0" borderId="25" xfId="88" applyNumberFormat="1" applyFont="1" applyBorder="1"/>
    <xf numFmtId="4" fontId="51" fillId="0" borderId="25" xfId="88" applyNumberFormat="1" applyFont="1" applyBorder="1"/>
    <xf numFmtId="0" fontId="4" fillId="0" borderId="41" xfId="88" applyBorder="1"/>
    <xf numFmtId="0" fontId="4" fillId="0" borderId="22" xfId="88" applyBorder="1"/>
    <xf numFmtId="4" fontId="72" fillId="0" borderId="25" xfId="88" applyNumberFormat="1" applyFont="1" applyBorder="1" applyAlignment="1">
      <alignment horizontal="center"/>
    </xf>
    <xf numFmtId="4" fontId="4" fillId="0" borderId="60" xfId="88" applyNumberFormat="1" applyBorder="1"/>
    <xf numFmtId="0" fontId="72" fillId="0" borderId="14" xfId="88" applyFont="1" applyBorder="1"/>
    <xf numFmtId="0" fontId="4" fillId="0" borderId="76" xfId="88" applyBorder="1"/>
    <xf numFmtId="0" fontId="72" fillId="0" borderId="38" xfId="88" applyFont="1" applyBorder="1"/>
    <xf numFmtId="0" fontId="72" fillId="0" borderId="69" xfId="88" applyFont="1" applyBorder="1"/>
    <xf numFmtId="4" fontId="72" fillId="0" borderId="74" xfId="88" applyNumberFormat="1" applyFont="1" applyBorder="1"/>
    <xf numFmtId="0" fontId="72" fillId="0" borderId="0" xfId="88" applyFont="1" applyAlignment="1">
      <alignment horizontal="right"/>
    </xf>
    <xf numFmtId="2" fontId="4" fillId="0" borderId="0" xfId="88" applyNumberFormat="1"/>
    <xf numFmtId="4" fontId="78" fillId="0" borderId="0" xfId="88" applyNumberFormat="1" applyFont="1"/>
    <xf numFmtId="4" fontId="4" fillId="0" borderId="0" xfId="88" applyNumberFormat="1" applyAlignment="1">
      <alignment horizontal="center"/>
    </xf>
    <xf numFmtId="4" fontId="32" fillId="0" borderId="0" xfId="88" applyNumberFormat="1" applyFont="1"/>
    <xf numFmtId="4" fontId="37" fillId="0" borderId="56" xfId="0" applyNumberFormat="1" applyFont="1" applyBorder="1" applyAlignment="1">
      <alignment vertical="center"/>
    </xf>
    <xf numFmtId="4" fontId="37" fillId="0" borderId="21" xfId="0" applyNumberFormat="1" applyFont="1" applyBorder="1" applyAlignment="1" applyProtection="1">
      <alignment vertical="center"/>
      <protection locked="0"/>
    </xf>
    <xf numFmtId="4" fontId="37" fillId="0" borderId="49" xfId="0" applyNumberFormat="1" applyFont="1" applyBorder="1" applyAlignment="1" applyProtection="1">
      <alignment vertical="center"/>
      <protection locked="0"/>
    </xf>
    <xf numFmtId="4" fontId="41" fillId="0" borderId="28" xfId="0" applyNumberFormat="1" applyFont="1" applyBorder="1" applyAlignment="1" applyProtection="1">
      <alignment vertical="center"/>
      <protection locked="0"/>
    </xf>
    <xf numFmtId="169" fontId="4" fillId="0" borderId="0" xfId="88" applyNumberFormat="1"/>
    <xf numFmtId="169" fontId="72" fillId="0" borderId="0" xfId="88" applyNumberFormat="1" applyFont="1"/>
    <xf numFmtId="4" fontId="37" fillId="0" borderId="15" xfId="0" applyNumberFormat="1" applyFont="1" applyBorder="1" applyAlignment="1">
      <alignment vertical="center"/>
    </xf>
    <xf numFmtId="4" fontId="43" fillId="0" borderId="20" xfId="0" applyNumberFormat="1" applyFont="1" applyBorder="1" applyAlignment="1" applyProtection="1">
      <alignment vertical="center"/>
      <protection locked="0"/>
    </xf>
    <xf numFmtId="4" fontId="43" fillId="0" borderId="22" xfId="0" applyNumberFormat="1" applyFont="1" applyBorder="1" applyAlignment="1" applyProtection="1">
      <alignment vertical="center"/>
      <protection locked="0"/>
    </xf>
    <xf numFmtId="4" fontId="36" fillId="0" borderId="49" xfId="0" applyNumberFormat="1" applyFont="1" applyBorder="1" applyAlignment="1" applyProtection="1">
      <alignment vertical="center"/>
      <protection locked="0"/>
    </xf>
    <xf numFmtId="4" fontId="37" fillId="0" borderId="19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Border="1" applyAlignment="1" applyProtection="1">
      <alignment vertical="center" wrapText="1"/>
      <protection locked="0"/>
    </xf>
    <xf numFmtId="170" fontId="0" fillId="0" borderId="0" xfId="0" applyNumberFormat="1"/>
    <xf numFmtId="4" fontId="34" fillId="0" borderId="0" xfId="0" applyNumberFormat="1" applyFont="1"/>
    <xf numFmtId="171" fontId="72" fillId="0" borderId="0" xfId="88" applyNumberFormat="1" applyFont="1"/>
    <xf numFmtId="171" fontId="4" fillId="0" borderId="0" xfId="88" applyNumberFormat="1" applyAlignment="1">
      <alignment wrapText="1"/>
    </xf>
    <xf numFmtId="171" fontId="4" fillId="0" borderId="0" xfId="88" applyNumberFormat="1" applyAlignment="1">
      <alignment horizontal="center" vertical="center" wrapText="1"/>
    </xf>
    <xf numFmtId="171" fontId="72" fillId="0" borderId="0" xfId="88" applyNumberFormat="1" applyFont="1" applyAlignment="1">
      <alignment wrapText="1"/>
    </xf>
    <xf numFmtId="171" fontId="5" fillId="0" borderId="0" xfId="40" applyNumberFormat="1" applyAlignment="1">
      <alignment wrapText="1"/>
    </xf>
    <xf numFmtId="4" fontId="36" fillId="0" borderId="23" xfId="0" applyNumberFormat="1" applyFont="1" applyBorder="1" applyAlignment="1">
      <alignment vertical="center"/>
    </xf>
    <xf numFmtId="4" fontId="35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16" xfId="0" applyNumberFormat="1" applyFont="1" applyBorder="1" applyAlignment="1" applyProtection="1">
      <alignment vertical="center"/>
      <protection locked="0"/>
    </xf>
    <xf numFmtId="4" fontId="37" fillId="0" borderId="18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 wrapText="1"/>
      <protection locked="0"/>
    </xf>
    <xf numFmtId="4" fontId="41" fillId="0" borderId="28" xfId="0" applyNumberFormat="1" applyFont="1" applyBorder="1" applyAlignment="1" applyProtection="1">
      <alignment vertical="center" wrapText="1"/>
      <protection locked="0"/>
    </xf>
    <xf numFmtId="4" fontId="43" fillId="0" borderId="24" xfId="0" applyNumberFormat="1" applyFont="1" applyBorder="1" applyAlignment="1" applyProtection="1">
      <alignment vertical="center" wrapText="1"/>
      <protection locked="0"/>
    </xf>
    <xf numFmtId="4" fontId="37" fillId="43" borderId="15" xfId="0" applyNumberFormat="1" applyFont="1" applyFill="1" applyBorder="1" applyAlignment="1">
      <alignment vertical="center"/>
    </xf>
    <xf numFmtId="4" fontId="37" fillId="0" borderId="59" xfId="0" applyNumberFormat="1" applyFont="1" applyBorder="1" applyAlignment="1">
      <alignment horizontal="right" vertical="center" wrapText="1"/>
    </xf>
    <xf numFmtId="4" fontId="37" fillId="0" borderId="60" xfId="0" applyNumberFormat="1" applyFont="1" applyBorder="1" applyAlignment="1">
      <alignment horizontal="right" vertical="center" wrapText="1"/>
    </xf>
    <xf numFmtId="4" fontId="37" fillId="0" borderId="61" xfId="0" applyNumberFormat="1" applyFont="1" applyBorder="1" applyAlignment="1">
      <alignment horizontal="right" vertical="center" wrapText="1"/>
    </xf>
    <xf numFmtId="4" fontId="101" fillId="0" borderId="0" xfId="88" applyNumberFormat="1" applyFont="1"/>
    <xf numFmtId="4" fontId="37" fillId="0" borderId="15" xfId="0" applyNumberFormat="1" applyFont="1" applyBorder="1" applyAlignment="1" applyProtection="1">
      <alignment vertical="center"/>
      <protection locked="0"/>
    </xf>
    <xf numFmtId="4" fontId="98" fillId="0" borderId="44" xfId="0" applyNumberFormat="1" applyFont="1" applyBorder="1" applyAlignment="1" applyProtection="1">
      <alignment vertical="center"/>
      <protection locked="0"/>
    </xf>
    <xf numFmtId="4" fontId="35" fillId="0" borderId="54" xfId="0" applyNumberFormat="1" applyFont="1" applyBorder="1" applyAlignment="1" applyProtection="1">
      <alignment vertical="center"/>
      <protection locked="0"/>
    </xf>
    <xf numFmtId="4" fontId="35" fillId="0" borderId="19" xfId="0" applyNumberFormat="1" applyFont="1" applyBorder="1" applyAlignment="1" applyProtection="1">
      <alignment vertical="center"/>
      <protection locked="0"/>
    </xf>
    <xf numFmtId="4" fontId="35" fillId="0" borderId="39" xfId="0" applyNumberFormat="1" applyFont="1" applyBorder="1" applyAlignment="1" applyProtection="1">
      <alignment vertical="center"/>
      <protection locked="0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65" xfId="0" applyNumberFormat="1" applyFont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4" fontId="34" fillId="0" borderId="45" xfId="0" applyNumberFormat="1" applyFont="1" applyBorder="1" applyAlignment="1" applyProtection="1">
      <alignment vertical="center"/>
      <protection locked="0"/>
    </xf>
    <xf numFmtId="4" fontId="34" fillId="0" borderId="56" xfId="0" applyNumberFormat="1" applyFont="1" applyBorder="1" applyAlignment="1" applyProtection="1">
      <alignment horizontal="right" vertical="center"/>
      <protection locked="0"/>
    </xf>
    <xf numFmtId="4" fontId="35" fillId="0" borderId="21" xfId="0" applyNumberFormat="1" applyFont="1" applyBorder="1" applyAlignment="1" applyProtection="1">
      <alignment horizontal="right" vertical="center" wrapText="1"/>
      <protection locked="0"/>
    </xf>
    <xf numFmtId="4" fontId="35" fillId="0" borderId="23" xfId="0" applyNumberFormat="1" applyFont="1" applyBorder="1" applyAlignment="1" applyProtection="1">
      <alignment horizontal="right" vertical="center" wrapText="1"/>
      <protection locked="0"/>
    </xf>
    <xf numFmtId="4" fontId="34" fillId="0" borderId="21" xfId="0" applyNumberFormat="1" applyFont="1" applyBorder="1" applyAlignment="1" applyProtection="1">
      <alignment horizontal="right" vertical="center" wrapText="1"/>
      <protection locked="0"/>
    </xf>
    <xf numFmtId="4" fontId="35" fillId="0" borderId="21" xfId="0" applyNumberFormat="1" applyFont="1" applyBorder="1" applyAlignment="1">
      <alignment horizontal="right" vertical="center" wrapText="1"/>
    </xf>
    <xf numFmtId="4" fontId="34" fillId="0" borderId="44" xfId="0" applyNumberFormat="1" applyFont="1" applyBorder="1" applyAlignment="1" applyProtection="1">
      <alignment vertical="center"/>
      <protection locked="0"/>
    </xf>
    <xf numFmtId="0" fontId="4" fillId="0" borderId="61" xfId="88" applyBorder="1"/>
    <xf numFmtId="0" fontId="72" fillId="0" borderId="0" xfId="88" applyFont="1" applyAlignment="1">
      <alignment horizontal="center" wrapText="1"/>
    </xf>
    <xf numFmtId="164" fontId="26" fillId="0" borderId="60" xfId="40" applyNumberFormat="1" applyFont="1" applyBorder="1" applyAlignment="1" applyProtection="1">
      <alignment horizontal="right" wrapText="1"/>
      <protection locked="0"/>
    </xf>
    <xf numFmtId="170" fontId="2" fillId="0" borderId="0" xfId="132" applyNumberFormat="1"/>
    <xf numFmtId="4" fontId="34" fillId="0" borderId="46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35" fillId="43" borderId="57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16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57" xfId="0" applyNumberFormat="1" applyFont="1" applyFill="1" applyBorder="1" applyAlignment="1">
      <alignment horizontal="center" vertical="center" wrapText="1"/>
    </xf>
    <xf numFmtId="4" fontId="35" fillId="43" borderId="57" xfId="0" applyNumberFormat="1" applyFont="1" applyFill="1" applyBorder="1" applyAlignment="1" applyProtection="1">
      <alignment horizontal="center" vertical="center"/>
      <protection locked="0"/>
    </xf>
    <xf numFmtId="4" fontId="35" fillId="0" borderId="57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Border="1" applyAlignment="1" applyProtection="1">
      <alignment vertical="center"/>
      <protection locked="0"/>
    </xf>
    <xf numFmtId="4" fontId="34" fillId="0" borderId="41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35" fillId="41" borderId="57" xfId="0" applyNumberFormat="1" applyFont="1" applyFill="1" applyBorder="1" applyAlignment="1">
      <alignment horizontal="left" vertical="center"/>
    </xf>
    <xf numFmtId="4" fontId="34" fillId="0" borderId="55" xfId="0" applyNumberFormat="1" applyFont="1" applyBorder="1" applyAlignment="1" applyProtection="1">
      <alignment vertical="center"/>
      <protection locked="0"/>
    </xf>
    <xf numFmtId="0" fontId="34" fillId="0" borderId="0" xfId="42" applyFont="1" applyAlignment="1">
      <alignment horizontal="left" wrapText="1"/>
    </xf>
    <xf numFmtId="0" fontId="62" fillId="0" borderId="13" xfId="0" applyFont="1" applyBorder="1" applyAlignment="1">
      <alignment horizontal="center" wrapText="1"/>
    </xf>
    <xf numFmtId="0" fontId="62" fillId="43" borderId="89" xfId="0" applyFont="1" applyFill="1" applyBorder="1"/>
    <xf numFmtId="0" fontId="103" fillId="0" borderId="0" xfId="0" applyFont="1" applyAlignment="1">
      <alignment horizontal="left"/>
    </xf>
    <xf numFmtId="4" fontId="52" fillId="0" borderId="0" xfId="0" applyNumberFormat="1" applyFont="1" applyAlignment="1">
      <alignment vertical="center"/>
    </xf>
    <xf numFmtId="0" fontId="4" fillId="0" borderId="0" xfId="0" applyFont="1"/>
    <xf numFmtId="4" fontId="6" fillId="44" borderId="92" xfId="0" applyNumberFormat="1" applyFont="1" applyFill="1" applyBorder="1" applyAlignment="1">
      <alignment horizontal="right"/>
    </xf>
    <xf numFmtId="4" fontId="6" fillId="45" borderId="92" xfId="0" applyNumberFormat="1" applyFont="1" applyFill="1" applyBorder="1" applyAlignment="1">
      <alignment horizontal="right"/>
    </xf>
    <xf numFmtId="4" fontId="105" fillId="0" borderId="92" xfId="0" applyNumberFormat="1" applyFont="1" applyBorder="1" applyAlignment="1">
      <alignment horizontal="right"/>
    </xf>
    <xf numFmtId="4" fontId="105" fillId="0" borderId="108" xfId="0" applyNumberFormat="1" applyFont="1" applyBorder="1" applyAlignment="1">
      <alignment horizontal="right"/>
    </xf>
    <xf numFmtId="4" fontId="6" fillId="45" borderId="93" xfId="0" applyNumberFormat="1" applyFont="1" applyFill="1" applyBorder="1" applyAlignment="1">
      <alignment horizontal="right"/>
    </xf>
    <xf numFmtId="4" fontId="6" fillId="0" borderId="92" xfId="0" applyNumberFormat="1" applyFont="1" applyBorder="1" applyAlignment="1">
      <alignment horizontal="right"/>
    </xf>
    <xf numFmtId="4" fontId="6" fillId="44" borderId="94" xfId="0" applyNumberFormat="1" applyFont="1" applyFill="1" applyBorder="1" applyAlignment="1">
      <alignment horizontal="right"/>
    </xf>
    <xf numFmtId="0" fontId="35" fillId="43" borderId="106" xfId="0" applyFont="1" applyFill="1" applyBorder="1" applyAlignment="1">
      <alignment horizontal="left" wrapText="1"/>
    </xf>
    <xf numFmtId="4" fontId="35" fillId="43" borderId="19" xfId="40" applyNumberFormat="1" applyFont="1" applyFill="1" applyBorder="1" applyAlignment="1">
      <alignment vertical="center"/>
    </xf>
    <xf numFmtId="0" fontId="35" fillId="43" borderId="107" xfId="0" applyFont="1" applyFill="1" applyBorder="1" applyAlignment="1">
      <alignment horizontal="left" wrapText="1"/>
    </xf>
    <xf numFmtId="4" fontId="35" fillId="43" borderId="63" xfId="40" applyNumberFormat="1" applyFont="1" applyFill="1" applyBorder="1" applyAlignment="1">
      <alignment vertical="center"/>
    </xf>
    <xf numFmtId="0" fontId="35" fillId="44" borderId="95" xfId="0" applyFont="1" applyFill="1" applyBorder="1" applyAlignment="1">
      <alignment horizontal="center" wrapText="1"/>
    </xf>
    <xf numFmtId="0" fontId="35" fillId="44" borderId="96" xfId="0" applyFont="1" applyFill="1" applyBorder="1" applyAlignment="1">
      <alignment horizontal="center" wrapText="1"/>
    </xf>
    <xf numFmtId="0" fontId="35" fillId="44" borderId="97" xfId="0" applyFont="1" applyFill="1" applyBorder="1" applyAlignment="1">
      <alignment horizontal="center" wrapText="1"/>
    </xf>
    <xf numFmtId="0" fontId="34" fillId="0" borderId="87" xfId="0" applyFont="1" applyBorder="1" applyAlignment="1">
      <alignment wrapText="1"/>
    </xf>
    <xf numFmtId="4" fontId="34" fillId="0" borderId="85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4" fillId="0" borderId="98" xfId="0" applyFont="1" applyBorder="1" applyAlignment="1">
      <alignment wrapText="1"/>
    </xf>
    <xf numFmtId="0" fontId="34" fillId="0" borderId="99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0" fontId="34" fillId="0" borderId="101" xfId="0" applyFont="1" applyBorder="1" applyAlignment="1">
      <alignment wrapText="1"/>
    </xf>
    <xf numFmtId="4" fontId="34" fillId="0" borderId="102" xfId="0" applyNumberFormat="1" applyFont="1" applyBorder="1" applyAlignment="1">
      <alignment horizontal="right"/>
    </xf>
    <xf numFmtId="2" fontId="34" fillId="0" borderId="102" xfId="0" applyNumberFormat="1" applyFont="1" applyBorder="1" applyAlignment="1">
      <alignment horizontal="right"/>
    </xf>
    <xf numFmtId="2" fontId="34" fillId="0" borderId="103" xfId="0" applyNumberFormat="1" applyFont="1" applyBorder="1" applyAlignment="1">
      <alignment horizontal="right"/>
    </xf>
    <xf numFmtId="0" fontId="35" fillId="44" borderId="25" xfId="0" applyFont="1" applyFill="1" applyBorder="1" applyAlignment="1">
      <alignment horizontal="center" wrapText="1"/>
    </xf>
    <xf numFmtId="0" fontId="35" fillId="44" borderId="11" xfId="0" applyFont="1" applyFill="1" applyBorder="1" applyAlignment="1">
      <alignment horizontal="center" wrapText="1"/>
    </xf>
    <xf numFmtId="0" fontId="35" fillId="0" borderId="21" xfId="0" applyFont="1" applyBorder="1" applyAlignment="1">
      <alignment wrapText="1"/>
    </xf>
    <xf numFmtId="4" fontId="35" fillId="0" borderId="25" xfId="0" applyNumberFormat="1" applyFont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4" fontId="34" fillId="0" borderId="11" xfId="0" applyNumberFormat="1" applyFont="1" applyBorder="1" applyAlignment="1">
      <alignment vertical="center"/>
    </xf>
    <xf numFmtId="0" fontId="34" fillId="0" borderId="21" xfId="0" applyFont="1" applyBorder="1" applyAlignment="1">
      <alignment vertical="center" wrapText="1"/>
    </xf>
    <xf numFmtId="2" fontId="34" fillId="0" borderId="25" xfId="0" applyNumberFormat="1" applyFont="1" applyBorder="1" applyAlignment="1">
      <alignment wrapText="1"/>
    </xf>
    <xf numFmtId="4" fontId="34" fillId="0" borderId="11" xfId="0" applyNumberFormat="1" applyFont="1" applyBorder="1" applyAlignment="1">
      <alignment wrapText="1"/>
    </xf>
    <xf numFmtId="2" fontId="34" fillId="0" borderId="11" xfId="0" applyNumberFormat="1" applyFont="1" applyBorder="1" applyAlignment="1">
      <alignment wrapText="1"/>
    </xf>
    <xf numFmtId="0" fontId="34" fillId="0" borderId="63" xfId="0" applyFont="1" applyBorder="1" applyAlignment="1">
      <alignment vertical="center" wrapText="1"/>
    </xf>
    <xf numFmtId="4" fontId="34" fillId="0" borderId="30" xfId="0" applyNumberFormat="1" applyFont="1" applyBorder="1" applyAlignment="1">
      <alignment horizontal="right"/>
    </xf>
    <xf numFmtId="4" fontId="34" fillId="0" borderId="31" xfId="0" applyNumberFormat="1" applyFont="1" applyBorder="1" applyAlignment="1">
      <alignment horizontal="right"/>
    </xf>
    <xf numFmtId="2" fontId="34" fillId="0" borderId="31" xfId="0" applyNumberFormat="1" applyFont="1" applyBorder="1" applyAlignment="1">
      <alignment horizontal="right"/>
    </xf>
    <xf numFmtId="4" fontId="34" fillId="0" borderId="31" xfId="0" applyNumberFormat="1" applyFont="1" applyBorder="1" applyAlignment="1">
      <alignment vertical="center"/>
    </xf>
    <xf numFmtId="0" fontId="35" fillId="43" borderId="23" xfId="0" applyFont="1" applyFill="1" applyBorder="1" applyAlignment="1">
      <alignment wrapText="1"/>
    </xf>
    <xf numFmtId="4" fontId="35" fillId="43" borderId="32" xfId="0" applyNumberFormat="1" applyFont="1" applyFill="1" applyBorder="1" applyAlignment="1">
      <alignment horizontal="right"/>
    </xf>
    <xf numFmtId="4" fontId="35" fillId="43" borderId="33" xfId="0" applyNumberFormat="1" applyFont="1" applyFill="1" applyBorder="1" applyAlignment="1">
      <alignment horizontal="right"/>
    </xf>
    <xf numFmtId="4" fontId="35" fillId="43" borderId="34" xfId="0" applyNumberFormat="1" applyFont="1" applyFill="1" applyBorder="1" applyAlignment="1">
      <alignment horizontal="right"/>
    </xf>
    <xf numFmtId="0" fontId="34" fillId="44" borderId="36" xfId="0" applyFont="1" applyFill="1" applyBorder="1" applyAlignment="1">
      <alignment horizontal="center" wrapText="1"/>
    </xf>
    <xf numFmtId="0" fontId="34" fillId="0" borderId="30" xfId="0" applyFont="1" applyBorder="1" applyAlignment="1">
      <alignment wrapText="1"/>
    </xf>
    <xf numFmtId="4" fontId="34" fillId="0" borderId="37" xfId="0" applyNumberFormat="1" applyFont="1" applyBorder="1" applyAlignment="1">
      <alignment horizontal="right"/>
    </xf>
    <xf numFmtId="4" fontId="34" fillId="0" borderId="99" xfId="0" applyNumberFormat="1" applyFont="1" applyBorder="1" applyAlignment="1">
      <alignment horizontal="right"/>
    </xf>
    <xf numFmtId="4" fontId="34" fillId="0" borderId="100" xfId="0" applyNumberFormat="1" applyFont="1" applyBorder="1" applyAlignment="1">
      <alignment horizontal="right"/>
    </xf>
    <xf numFmtId="4" fontId="34" fillId="0" borderId="104" xfId="0" applyNumberFormat="1" applyFont="1" applyBorder="1" applyAlignment="1">
      <alignment horizontal="right"/>
    </xf>
    <xf numFmtId="4" fontId="34" fillId="0" borderId="105" xfId="0" applyNumberFormat="1" applyFont="1" applyBorder="1" applyAlignment="1">
      <alignment horizontal="right"/>
    </xf>
    <xf numFmtId="4" fontId="34" fillId="0" borderId="90" xfId="0" applyNumberFormat="1" applyFont="1" applyBorder="1" applyAlignment="1">
      <alignment horizontal="right"/>
    </xf>
    <xf numFmtId="4" fontId="34" fillId="0" borderId="91" xfId="0" applyNumberFormat="1" applyFont="1" applyBorder="1" applyAlignment="1">
      <alignment horizontal="right"/>
    </xf>
    <xf numFmtId="4" fontId="35" fillId="0" borderId="0" xfId="0" applyNumberFormat="1" applyFont="1" applyAlignment="1">
      <alignment vertical="center" wrapText="1"/>
    </xf>
    <xf numFmtId="4" fontId="35" fillId="41" borderId="38" xfId="0" applyNumberFormat="1" applyFont="1" applyFill="1" applyBorder="1" applyAlignment="1">
      <alignment horizontal="center" vertical="center" wrapText="1"/>
    </xf>
    <xf numFmtId="4" fontId="35" fillId="0" borderId="19" xfId="0" applyNumberFormat="1" applyFont="1" applyBorder="1" applyAlignment="1">
      <alignment vertical="center"/>
    </xf>
    <xf numFmtId="4" fontId="35" fillId="0" borderId="39" xfId="0" applyNumberFormat="1" applyFont="1" applyBorder="1" applyAlignment="1">
      <alignment vertical="center"/>
    </xf>
    <xf numFmtId="4" fontId="35" fillId="0" borderId="29" xfId="0" applyNumberFormat="1" applyFont="1" applyBorder="1" applyAlignment="1">
      <alignment vertical="center"/>
    </xf>
    <xf numFmtId="4" fontId="35" fillId="0" borderId="40" xfId="0" applyNumberFormat="1" applyFont="1" applyBorder="1" applyAlignment="1">
      <alignment vertical="center"/>
    </xf>
    <xf numFmtId="4" fontId="35" fillId="0" borderId="21" xfId="0" applyNumberFormat="1" applyFont="1" applyBorder="1" applyAlignment="1">
      <alignment vertical="center"/>
    </xf>
    <xf numFmtId="4" fontId="35" fillId="0" borderId="41" xfId="0" applyNumberFormat="1" applyFont="1" applyBorder="1" applyAlignment="1">
      <alignment vertical="center"/>
    </xf>
    <xf numFmtId="4" fontId="34" fillId="0" borderId="29" xfId="0" applyNumberFormat="1" applyFont="1" applyBorder="1" applyAlignment="1">
      <alignment vertical="center"/>
    </xf>
    <xf numFmtId="4" fontId="34" fillId="0" borderId="40" xfId="0" applyNumberFormat="1" applyFont="1" applyBorder="1" applyAlignment="1">
      <alignment vertical="center"/>
    </xf>
    <xf numFmtId="3" fontId="34" fillId="0" borderId="21" xfId="0" applyNumberFormat="1" applyFont="1" applyBorder="1" applyAlignment="1">
      <alignment vertical="center"/>
    </xf>
    <xf numFmtId="4" fontId="34" fillId="0" borderId="41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42" xfId="0" applyNumberFormat="1" applyFont="1" applyBorder="1" applyAlignment="1">
      <alignment vertical="center"/>
    </xf>
    <xf numFmtId="4" fontId="34" fillId="0" borderId="43" xfId="0" applyNumberFormat="1" applyFont="1" applyBorder="1" applyAlignment="1">
      <alignment vertical="center"/>
    </xf>
    <xf numFmtId="3" fontId="34" fillId="0" borderId="44" xfId="0" applyNumberFormat="1" applyFont="1" applyBorder="1" applyAlignment="1">
      <alignment vertical="center"/>
    </xf>
    <xf numFmtId="4" fontId="34" fillId="0" borderId="45" xfId="0" applyNumberFormat="1" applyFont="1" applyBorder="1" applyAlignment="1">
      <alignment vertical="center"/>
    </xf>
    <xf numFmtId="4" fontId="34" fillId="0" borderId="44" xfId="0" applyNumberFormat="1" applyFont="1" applyBorder="1" applyAlignment="1">
      <alignment vertical="center"/>
    </xf>
    <xf numFmtId="4" fontId="35" fillId="41" borderId="47" xfId="0" applyNumberFormat="1" applyFont="1" applyFill="1" applyBorder="1" applyAlignment="1">
      <alignment vertical="center"/>
    </xf>
    <xf numFmtId="4" fontId="35" fillId="41" borderId="48" xfId="0" applyNumberFormat="1" applyFont="1" applyFill="1" applyBorder="1" applyAlignment="1">
      <alignment vertical="center"/>
    </xf>
    <xf numFmtId="4" fontId="35" fillId="41" borderId="15" xfId="0" applyNumberFormat="1" applyFont="1" applyFill="1" applyBorder="1" applyAlignment="1">
      <alignment vertical="center"/>
    </xf>
    <xf numFmtId="4" fontId="35" fillId="0" borderId="49" xfId="0" applyNumberFormat="1" applyFont="1" applyBorder="1" applyAlignment="1">
      <alignment vertical="center"/>
    </xf>
    <xf numFmtId="4" fontId="35" fillId="0" borderId="50" xfId="0" applyNumberFormat="1" applyFont="1" applyBorder="1" applyAlignment="1">
      <alignment vertical="center"/>
    </xf>
    <xf numFmtId="4" fontId="35" fillId="0" borderId="26" xfId="0" applyNumberFormat="1" applyFont="1" applyBorder="1" applyAlignment="1">
      <alignment vertical="center"/>
    </xf>
    <xf numFmtId="4" fontId="35" fillId="0" borderId="51" xfId="0" applyNumberFormat="1" applyFont="1" applyBorder="1" applyAlignment="1">
      <alignment vertical="center"/>
    </xf>
    <xf numFmtId="4" fontId="35" fillId="41" borderId="38" xfId="0" applyNumberFormat="1" applyFont="1" applyFill="1" applyBorder="1" applyAlignment="1">
      <alignment vertical="center"/>
    </xf>
    <xf numFmtId="170" fontId="4" fillId="0" borderId="0" xfId="0" applyNumberFormat="1" applyFont="1"/>
    <xf numFmtId="4" fontId="34" fillId="0" borderId="0" xfId="0" applyNumberFormat="1" applyFont="1" applyAlignment="1" applyProtection="1">
      <alignment vertical="center"/>
      <protection locked="0"/>
    </xf>
    <xf numFmtId="49" fontId="34" fillId="0" borderId="19" xfId="0" applyNumberFormat="1" applyFont="1" applyBorder="1" applyAlignment="1" applyProtection="1">
      <alignment vertical="center"/>
      <protection locked="0"/>
    </xf>
    <xf numFmtId="49" fontId="35" fillId="0" borderId="49" xfId="0" applyNumberFormat="1" applyFont="1" applyBorder="1" applyAlignment="1" applyProtection="1">
      <alignment vertical="center"/>
      <protection locked="0"/>
    </xf>
    <xf numFmtId="4" fontId="35" fillId="0" borderId="55" xfId="0" applyNumberFormat="1" applyFont="1" applyBorder="1" applyAlignment="1" applyProtection="1">
      <alignment vertical="center"/>
      <protection locked="0"/>
    </xf>
    <xf numFmtId="49" fontId="34" fillId="0" borderId="49" xfId="0" applyNumberFormat="1" applyFont="1" applyBorder="1" applyAlignment="1" applyProtection="1">
      <alignment vertical="center"/>
      <protection locked="0"/>
    </xf>
    <xf numFmtId="4" fontId="35" fillId="0" borderId="56" xfId="0" applyNumberFormat="1" applyFont="1" applyBorder="1" applyAlignment="1">
      <alignment vertical="center"/>
    </xf>
    <xf numFmtId="4" fontId="34" fillId="0" borderId="56" xfId="0" applyNumberFormat="1" applyFont="1" applyBorder="1" applyAlignment="1">
      <alignment vertical="center"/>
    </xf>
    <xf numFmtId="49" fontId="34" fillId="0" borderId="21" xfId="0" applyNumberFormat="1" applyFont="1" applyBorder="1" applyAlignment="1" applyProtection="1">
      <alignment vertical="center"/>
      <protection locked="0"/>
    </xf>
    <xf numFmtId="4" fontId="35" fillId="43" borderId="57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4" fontId="35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8" xfId="0" applyNumberFormat="1" applyFont="1" applyBorder="1" applyAlignment="1" applyProtection="1">
      <alignment horizontal="right" vertical="center" wrapText="1"/>
      <protection locked="0"/>
    </xf>
    <xf numFmtId="4" fontId="34" fillId="0" borderId="11" xfId="0" applyNumberFormat="1" applyFont="1" applyBorder="1" applyAlignment="1" applyProtection="1">
      <alignment horizontal="right" vertical="center" wrapText="1"/>
      <protection locked="0"/>
    </xf>
    <xf numFmtId="4" fontId="34" fillId="0" borderId="31" xfId="0" applyNumberFormat="1" applyFont="1" applyBorder="1" applyAlignment="1" applyProtection="1">
      <alignment horizontal="right" vertical="center" wrapText="1"/>
      <protection locked="0"/>
    </xf>
    <xf numFmtId="4" fontId="34" fillId="43" borderId="58" xfId="0" applyNumberFormat="1" applyFont="1" applyFill="1" applyBorder="1" applyAlignment="1" applyProtection="1">
      <alignment horizontal="right" vertical="center" wrapText="1"/>
      <protection locked="0"/>
    </xf>
    <xf numFmtId="166" fontId="34" fillId="0" borderId="11" xfId="0" applyNumberFormat="1" applyFont="1" applyBorder="1" applyAlignment="1" applyProtection="1">
      <alignment horizontal="right" vertical="center" wrapText="1"/>
      <protection locked="0"/>
    </xf>
    <xf numFmtId="166" fontId="34" fillId="0" borderId="31" xfId="0" applyNumberFormat="1" applyFont="1" applyBorder="1" applyAlignment="1" applyProtection="1">
      <alignment horizontal="right" vertical="center" wrapText="1"/>
      <protection locked="0"/>
    </xf>
    <xf numFmtId="4" fontId="34" fillId="0" borderId="50" xfId="0" applyNumberFormat="1" applyFont="1" applyBorder="1" applyAlignment="1" applyProtection="1">
      <alignment horizontal="right" vertical="center" wrapText="1"/>
      <protection locked="0"/>
    </xf>
    <xf numFmtId="4" fontId="34" fillId="0" borderId="49" xfId="0" applyNumberFormat="1" applyFont="1" applyBorder="1" applyAlignment="1" applyProtection="1">
      <alignment horizontal="right" vertical="center" wrapText="1"/>
      <protection locked="0"/>
    </xf>
    <xf numFmtId="4" fontId="34" fillId="0" borderId="41" xfId="0" applyNumberFormat="1" applyFont="1" applyBorder="1" applyAlignment="1" applyProtection="1">
      <alignment horizontal="right" vertical="center" wrapText="1"/>
      <protection locked="0"/>
    </xf>
    <xf numFmtId="4" fontId="35" fillId="43" borderId="15" xfId="0" applyNumberFormat="1" applyFont="1" applyFill="1" applyBorder="1" applyAlignment="1">
      <alignment horizontal="right" vertical="center" wrapText="1"/>
    </xf>
    <xf numFmtId="4" fontId="35" fillId="41" borderId="1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Alignment="1">
      <alignment vertical="center" wrapText="1"/>
    </xf>
    <xf numFmtId="4" fontId="34" fillId="0" borderId="24" xfId="0" applyNumberFormat="1" applyFont="1" applyBorder="1" applyAlignment="1">
      <alignment horizontal="right" vertical="center" wrapText="1"/>
    </xf>
    <xf numFmtId="4" fontId="35" fillId="41" borderId="14" xfId="0" applyNumberFormat="1" applyFont="1" applyFill="1" applyBorder="1" applyAlignment="1">
      <alignment horizontal="right" vertical="center" wrapText="1"/>
    </xf>
    <xf numFmtId="4" fontId="35" fillId="41" borderId="63" xfId="0" applyNumberFormat="1" applyFont="1" applyFill="1" applyBorder="1" applyAlignment="1">
      <alignment horizontal="center" vertical="center"/>
    </xf>
    <xf numFmtId="4" fontId="34" fillId="0" borderId="21" xfId="0" applyNumberFormat="1" applyFont="1" applyBorder="1" applyAlignment="1">
      <alignment horizontal="left" vertical="center" wrapText="1"/>
    </xf>
    <xf numFmtId="4" fontId="34" fillId="0" borderId="49" xfId="0" applyNumberFormat="1" applyFont="1" applyBorder="1" applyAlignment="1">
      <alignment vertical="center"/>
    </xf>
    <xf numFmtId="4" fontId="34" fillId="0" borderId="50" xfId="0" applyNumberFormat="1" applyFont="1" applyBorder="1" applyAlignment="1">
      <alignment vertical="center"/>
    </xf>
    <xf numFmtId="4" fontId="43" fillId="0" borderId="56" xfId="0" applyNumberFormat="1" applyFont="1" applyBorder="1" applyAlignment="1">
      <alignment horizontal="left" vertical="center" wrapText="1"/>
    </xf>
    <xf numFmtId="4" fontId="43" fillId="0" borderId="64" xfId="0" applyNumberFormat="1" applyFont="1" applyBorder="1" applyAlignment="1">
      <alignment horizontal="left" vertical="center" wrapText="1"/>
    </xf>
    <xf numFmtId="4" fontId="34" fillId="0" borderId="17" xfId="0" applyNumberFormat="1" applyFont="1" applyBorder="1" applyAlignment="1">
      <alignment vertical="center"/>
    </xf>
    <xf numFmtId="4" fontId="35" fillId="41" borderId="57" xfId="0" applyNumberFormat="1" applyFont="1" applyFill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4" fillId="0" borderId="39" xfId="0" applyNumberFormat="1" applyFont="1" applyBorder="1" applyAlignment="1" applyProtection="1">
      <alignment horizontal="right" vertical="center"/>
      <protection locked="0"/>
    </xf>
    <xf numFmtId="4" fontId="34" fillId="0" borderId="19" xfId="0" applyNumberFormat="1" applyFont="1" applyBorder="1" applyAlignment="1" applyProtection="1">
      <alignment horizontal="right" vertical="center" wrapText="1"/>
      <protection locked="0"/>
    </xf>
    <xf numFmtId="4" fontId="34" fillId="0" borderId="41" xfId="0" applyNumberFormat="1" applyFont="1" applyBorder="1" applyAlignment="1" applyProtection="1">
      <alignment horizontal="right" vertical="center"/>
      <protection locked="0"/>
    </xf>
    <xf numFmtId="4" fontId="34" fillId="0" borderId="45" xfId="0" applyNumberFormat="1" applyFont="1" applyBorder="1" applyAlignment="1" applyProtection="1">
      <alignment horizontal="right" vertical="center"/>
      <protection locked="0"/>
    </xf>
    <xf numFmtId="4" fontId="34" fillId="0" borderId="44" xfId="0" applyNumberFormat="1" applyFont="1" applyBorder="1" applyAlignment="1" applyProtection="1">
      <alignment horizontal="right" vertical="center" wrapText="1"/>
      <protection locked="0"/>
    </xf>
    <xf numFmtId="4" fontId="34" fillId="0" borderId="65" xfId="0" applyNumberFormat="1" applyFont="1" applyBorder="1" applyAlignment="1" applyProtection="1">
      <alignment horizontal="right" vertical="center"/>
      <protection locked="0"/>
    </xf>
    <xf numFmtId="4" fontId="34" fillId="0" borderId="0" xfId="0" applyNumberFormat="1" applyFont="1" applyAlignment="1" applyProtection="1">
      <alignment horizontal="right" vertical="center"/>
      <protection locked="0"/>
    </xf>
    <xf numFmtId="4" fontId="34" fillId="0" borderId="17" xfId="0" applyNumberFormat="1" applyFont="1" applyBorder="1" applyAlignment="1" applyProtection="1">
      <alignment horizontal="right" vertical="center" wrapText="1"/>
      <protection locked="0"/>
    </xf>
    <xf numFmtId="4" fontId="35" fillId="43" borderId="16" xfId="0" applyNumberFormat="1" applyFont="1" applyFill="1" applyBorder="1" applyAlignment="1">
      <alignment horizontal="right" vertical="center"/>
    </xf>
    <xf numFmtId="4" fontId="35" fillId="41" borderId="15" xfId="0" applyNumberFormat="1" applyFont="1" applyFill="1" applyBorder="1" applyAlignment="1">
      <alignment horizontal="right" vertical="center"/>
    </xf>
    <xf numFmtId="4" fontId="35" fillId="0" borderId="66" xfId="0" applyNumberFormat="1" applyFont="1" applyBorder="1" applyAlignment="1" applyProtection="1">
      <alignment horizontal="right" vertical="center" wrapText="1"/>
      <protection locked="0"/>
    </xf>
    <xf numFmtId="4" fontId="35" fillId="0" borderId="52" xfId="0" applyNumberFormat="1" applyFont="1" applyBorder="1" applyAlignment="1">
      <alignment horizontal="right" vertical="center" wrapText="1"/>
    </xf>
    <xf numFmtId="166" fontId="34" fillId="0" borderId="58" xfId="0" applyNumberFormat="1" applyFont="1" applyBorder="1" applyAlignment="1" applyProtection="1">
      <alignment horizontal="right" vertical="center" wrapText="1"/>
      <protection locked="0"/>
    </xf>
    <xf numFmtId="166" fontId="34" fillId="0" borderId="28" xfId="0" applyNumberFormat="1" applyFont="1" applyBorder="1" applyAlignment="1" applyProtection="1">
      <alignment horizontal="right" vertical="center" wrapText="1"/>
      <protection locked="0"/>
    </xf>
    <xf numFmtId="166" fontId="34" fillId="0" borderId="27" xfId="0" applyNumberFormat="1" applyFont="1" applyBorder="1" applyAlignment="1" applyProtection="1">
      <alignment horizontal="right" vertical="center" wrapText="1"/>
      <protection locked="0"/>
    </xf>
    <xf numFmtId="166" fontId="34" fillId="0" borderId="22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5" fillId="43" borderId="15" xfId="0" applyNumberFormat="1" applyFont="1" applyFill="1" applyBorder="1" applyAlignment="1">
      <alignment horizontal="right" vertical="center"/>
    </xf>
    <xf numFmtId="4" fontId="35" fillId="0" borderId="50" xfId="0" applyNumberFormat="1" applyFont="1" applyBorder="1" applyAlignment="1" applyProtection="1">
      <alignment horizontal="right" vertical="center"/>
      <protection locked="0"/>
    </xf>
    <xf numFmtId="4" fontId="35" fillId="0" borderId="49" xfId="0" applyNumberFormat="1" applyFont="1" applyBorder="1" applyAlignment="1" applyProtection="1">
      <alignment horizontal="right" vertical="center"/>
      <protection locked="0"/>
    </xf>
    <xf numFmtId="4" fontId="34" fillId="0" borderId="50" xfId="0" applyNumberFormat="1" applyFont="1" applyBorder="1" applyAlignment="1" applyProtection="1">
      <alignment horizontal="right" vertical="center"/>
      <protection locked="0"/>
    </xf>
    <xf numFmtId="4" fontId="34" fillId="0" borderId="49" xfId="0" applyNumberFormat="1" applyFont="1" applyBorder="1" applyAlignment="1" applyProtection="1">
      <alignment horizontal="right" vertical="center"/>
      <protection locked="0"/>
    </xf>
    <xf numFmtId="4" fontId="34" fillId="0" borderId="21" xfId="0" applyNumberFormat="1" applyFont="1" applyBorder="1" applyAlignment="1" applyProtection="1">
      <alignment horizontal="right" vertical="center"/>
      <protection locked="0"/>
    </xf>
    <xf numFmtId="4" fontId="34" fillId="0" borderId="44" xfId="0" applyNumberFormat="1" applyFont="1" applyBorder="1" applyAlignment="1" applyProtection="1">
      <alignment horizontal="right" vertical="center"/>
      <protection locked="0"/>
    </xf>
    <xf numFmtId="4" fontId="35" fillId="0" borderId="0" xfId="0" applyNumberFormat="1" applyFont="1" applyAlignment="1">
      <alignment vertical="center"/>
    </xf>
    <xf numFmtId="4" fontId="34" fillId="0" borderId="23" xfId="0" applyNumberFormat="1" applyFont="1" applyBorder="1" applyAlignment="1" applyProtection="1">
      <alignment horizontal="right" vertical="center"/>
      <protection locked="0"/>
    </xf>
    <xf numFmtId="4" fontId="35" fillId="43" borderId="16" xfId="0" applyNumberFormat="1" applyFont="1" applyFill="1" applyBorder="1" applyAlignment="1" applyProtection="1">
      <alignment vertical="center"/>
      <protection locked="0"/>
    </xf>
    <xf numFmtId="4" fontId="35" fillId="43" borderId="15" xfId="0" applyNumberFormat="1" applyFont="1" applyFill="1" applyBorder="1" applyAlignment="1" applyProtection="1">
      <alignment vertical="center"/>
      <protection locked="0"/>
    </xf>
    <xf numFmtId="4" fontId="35" fillId="0" borderId="49" xfId="0" applyNumberFormat="1" applyFont="1" applyBorder="1" applyAlignment="1" applyProtection="1">
      <alignment vertical="center"/>
      <protection locked="0"/>
    </xf>
    <xf numFmtId="4" fontId="35" fillId="43" borderId="15" xfId="0" applyNumberFormat="1" applyFont="1" applyFill="1" applyBorder="1" applyAlignment="1">
      <alignment vertical="center"/>
    </xf>
    <xf numFmtId="4" fontId="34" fillId="43" borderId="35" xfId="0" applyNumberFormat="1" applyFont="1" applyFill="1" applyBorder="1" applyAlignment="1" applyProtection="1">
      <alignment horizontal="center" vertical="center" wrapText="1"/>
      <protection locked="0"/>
    </xf>
    <xf numFmtId="4" fontId="34" fillId="43" borderId="34" xfId="0" applyNumberFormat="1" applyFont="1" applyFill="1" applyBorder="1" applyAlignment="1" applyProtection="1">
      <alignment horizontal="center" vertical="center" wrapText="1"/>
      <protection locked="0"/>
    </xf>
    <xf numFmtId="4" fontId="34" fillId="43" borderId="13" xfId="0" applyNumberFormat="1" applyFont="1" applyFill="1" applyBorder="1" applyAlignment="1" applyProtection="1">
      <alignment horizontal="center" vertical="center" wrapText="1"/>
      <protection locked="0"/>
    </xf>
    <xf numFmtId="4" fontId="34" fillId="43" borderId="15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47" xfId="0" applyNumberFormat="1" applyFont="1" applyBorder="1" applyAlignment="1" applyProtection="1">
      <alignment vertical="center" wrapText="1"/>
      <protection locked="0"/>
    </xf>
    <xf numFmtId="4" fontId="35" fillId="0" borderId="68" xfId="0" applyNumberFormat="1" applyFont="1" applyBorder="1" applyAlignment="1" applyProtection="1">
      <alignment vertical="center" wrapText="1"/>
      <protection locked="0"/>
    </xf>
    <xf numFmtId="4" fontId="35" fillId="0" borderId="69" xfId="0" applyNumberFormat="1" applyFont="1" applyBorder="1" applyAlignment="1" applyProtection="1">
      <alignment vertical="center" wrapText="1"/>
      <protection locked="0"/>
    </xf>
    <xf numFmtId="4" fontId="34" fillId="0" borderId="49" xfId="0" applyNumberFormat="1" applyFont="1" applyBorder="1" applyAlignment="1" applyProtection="1">
      <alignment horizontal="left" vertical="center" wrapText="1"/>
      <protection locked="0"/>
    </xf>
    <xf numFmtId="4" fontId="34" fillId="0" borderId="26" xfId="0" applyNumberFormat="1" applyFont="1" applyBorder="1" applyAlignment="1" applyProtection="1">
      <alignment horizontal="right" vertical="center" wrapText="1"/>
      <protection locked="0"/>
    </xf>
    <xf numFmtId="4" fontId="34" fillId="0" borderId="27" xfId="0" applyNumberFormat="1" applyFont="1" applyBorder="1" applyAlignment="1" applyProtection="1">
      <alignment horizontal="right" vertical="center" wrapText="1"/>
      <protection locked="0"/>
    </xf>
    <xf numFmtId="4" fontId="34" fillId="0" borderId="28" xfId="0" applyNumberFormat="1" applyFont="1" applyBorder="1" applyAlignment="1" applyProtection="1">
      <alignment horizontal="right" vertical="center" wrapText="1"/>
      <protection locked="0"/>
    </xf>
    <xf numFmtId="4" fontId="34" fillId="0" borderId="29" xfId="0" applyNumberFormat="1" applyFont="1" applyBorder="1" applyAlignment="1" applyProtection="1">
      <alignment horizontal="right" vertical="center" wrapText="1"/>
      <protection locked="0"/>
    </xf>
    <xf numFmtId="4" fontId="34" fillId="0" borderId="22" xfId="0" applyNumberFormat="1" applyFont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>
      <alignment horizontal="right" vertical="center" wrapText="1"/>
    </xf>
    <xf numFmtId="4" fontId="35" fillId="0" borderId="0" xfId="0" applyNumberFormat="1" applyFont="1" applyAlignment="1">
      <alignment horizontal="left" vertical="center"/>
    </xf>
    <xf numFmtId="4" fontId="34" fillId="0" borderId="0" xfId="0" applyNumberFormat="1" applyFont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horizontal="right" vertical="center" wrapText="1"/>
      <protection locked="0"/>
    </xf>
    <xf numFmtId="4" fontId="38" fillId="0" borderId="0" xfId="0" applyNumberFormat="1" applyFont="1" applyAlignment="1">
      <alignment horizontal="left" vertical="center"/>
    </xf>
    <xf numFmtId="4" fontId="35" fillId="43" borderId="57" xfId="0" applyNumberFormat="1" applyFont="1" applyFill="1" applyBorder="1" applyAlignment="1">
      <alignment horizontal="left" vertical="center"/>
    </xf>
    <xf numFmtId="4" fontId="35" fillId="43" borderId="38" xfId="0" applyNumberFormat="1" applyFont="1" applyFill="1" applyBorder="1" applyAlignment="1">
      <alignment horizontal="left" vertical="center"/>
    </xf>
    <xf numFmtId="4" fontId="35" fillId="43" borderId="16" xfId="0" applyNumberFormat="1" applyFont="1" applyFill="1" applyBorder="1" applyAlignment="1">
      <alignment horizontal="left" vertical="center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35" fillId="0" borderId="15" xfId="0" applyNumberFormat="1" applyFont="1" applyBorder="1" applyAlignment="1">
      <alignment vertical="center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4" fillId="0" borderId="17" xfId="0" applyNumberFormat="1" applyFont="1" applyBorder="1" applyAlignment="1" applyProtection="1">
      <alignment vertical="center"/>
      <protection locked="0"/>
    </xf>
    <xf numFmtId="0" fontId="34" fillId="0" borderId="37" xfId="0" applyFont="1" applyBorder="1"/>
    <xf numFmtId="0" fontId="34" fillId="0" borderId="23" xfId="0" applyFont="1" applyBorder="1"/>
    <xf numFmtId="4" fontId="35" fillId="43" borderId="15" xfId="0" applyNumberFormat="1" applyFont="1" applyFill="1" applyBorder="1" applyAlignment="1">
      <alignment horizontal="center" vertical="center"/>
    </xf>
    <xf numFmtId="4" fontId="34" fillId="0" borderId="63" xfId="0" applyNumberFormat="1" applyFont="1" applyBorder="1" applyAlignment="1">
      <alignment vertical="center"/>
    </xf>
    <xf numFmtId="4" fontId="35" fillId="0" borderId="16" xfId="0" applyNumberFormat="1" applyFont="1" applyBorder="1" applyAlignment="1" applyProtection="1">
      <alignment vertical="center"/>
      <protection locked="0"/>
    </xf>
    <xf numFmtId="4" fontId="35" fillId="0" borderId="18" xfId="0" applyNumberFormat="1" applyFont="1" applyBorder="1" applyAlignment="1" applyProtection="1">
      <alignment vertical="center"/>
      <protection locked="0"/>
    </xf>
    <xf numFmtId="4" fontId="34" fillId="0" borderId="19" xfId="0" applyNumberFormat="1" applyFont="1" applyBorder="1" applyAlignment="1">
      <alignment vertical="center"/>
    </xf>
    <xf numFmtId="4" fontId="35" fillId="0" borderId="15" xfId="0" applyNumberFormat="1" applyFont="1" applyBorder="1" applyAlignment="1" applyProtection="1">
      <alignment vertical="center"/>
      <protection locked="0"/>
    </xf>
    <xf numFmtId="4" fontId="35" fillId="43" borderId="57" xfId="0" applyNumberFormat="1" applyFont="1" applyFill="1" applyBorder="1" applyAlignment="1">
      <alignment horizontal="center" vertical="center"/>
    </xf>
    <xf numFmtId="4" fontId="35" fillId="41" borderId="15" xfId="0" applyNumberFormat="1" applyFont="1" applyFill="1" applyBorder="1" applyAlignment="1">
      <alignment horizontal="center" vertical="center"/>
    </xf>
    <xf numFmtId="4" fontId="35" fillId="41" borderId="38" xfId="0" applyNumberFormat="1" applyFont="1" applyFill="1" applyBorder="1" applyAlignment="1">
      <alignment horizontal="center" vertical="center"/>
    </xf>
    <xf numFmtId="4" fontId="34" fillId="0" borderId="33" xfId="0" applyNumberFormat="1" applyFont="1" applyBorder="1" applyAlignment="1">
      <alignment vertical="center" wrapText="1"/>
    </xf>
    <xf numFmtId="4" fontId="35" fillId="0" borderId="55" xfId="0" applyNumberFormat="1" applyFont="1" applyBorder="1" applyAlignment="1">
      <alignment horizontal="right" vertical="center"/>
    </xf>
    <xf numFmtId="4" fontId="35" fillId="0" borderId="50" xfId="0" applyNumberFormat="1" applyFont="1" applyBorder="1" applyAlignment="1" applyProtection="1">
      <alignment vertical="center"/>
      <protection locked="0"/>
    </xf>
    <xf numFmtId="4" fontId="35" fillId="0" borderId="56" xfId="0" applyNumberFormat="1" applyFont="1" applyBorder="1" applyAlignment="1">
      <alignment horizontal="right" vertical="center"/>
    </xf>
    <xf numFmtId="4" fontId="35" fillId="0" borderId="71" xfId="0" applyNumberFormat="1" applyFont="1" applyBorder="1" applyAlignment="1">
      <alignment horizontal="right" vertical="center"/>
    </xf>
    <xf numFmtId="4" fontId="34" fillId="0" borderId="23" xfId="0" applyNumberFormat="1" applyFont="1" applyBorder="1" applyAlignment="1">
      <alignment vertical="center"/>
    </xf>
    <xf numFmtId="4" fontId="34" fillId="0" borderId="67" xfId="0" applyNumberFormat="1" applyFont="1" applyBorder="1" applyAlignment="1">
      <alignment vertical="center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 wrapText="1"/>
    </xf>
    <xf numFmtId="4" fontId="43" fillId="0" borderId="46" xfId="0" applyNumberFormat="1" applyFont="1" applyBorder="1" applyAlignment="1" applyProtection="1">
      <alignment vertical="center"/>
      <protection locked="0"/>
    </xf>
    <xf numFmtId="4" fontId="41" fillId="0" borderId="49" xfId="0" applyNumberFormat="1" applyFont="1" applyBorder="1" applyAlignment="1" applyProtection="1">
      <alignment vertical="center"/>
      <protection locked="0"/>
    </xf>
    <xf numFmtId="4" fontId="37" fillId="0" borderId="28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horizontal="right" vertical="center"/>
      <protection locked="0"/>
    </xf>
    <xf numFmtId="0" fontId="6" fillId="44" borderId="109" xfId="0" applyFont="1" applyFill="1" applyBorder="1"/>
    <xf numFmtId="0" fontId="6" fillId="44" borderId="88" xfId="0" applyFont="1" applyFill="1" applyBorder="1"/>
    <xf numFmtId="0" fontId="105" fillId="0" borderId="109" xfId="0" applyFont="1" applyBorder="1"/>
    <xf numFmtId="0" fontId="105" fillId="0" borderId="88" xfId="0" applyFont="1" applyBorder="1"/>
    <xf numFmtId="0" fontId="6" fillId="45" borderId="109" xfId="0" applyFont="1" applyFill="1" applyBorder="1"/>
    <xf numFmtId="0" fontId="6" fillId="45" borderId="88" xfId="0" applyFont="1" applyFill="1" applyBorder="1"/>
    <xf numFmtId="0" fontId="105" fillId="0" borderId="112" xfId="0" applyFont="1" applyBorder="1"/>
    <xf numFmtId="0" fontId="105" fillId="0" borderId="113" xfId="0" applyFont="1" applyBorder="1"/>
    <xf numFmtId="0" fontId="6" fillId="45" borderId="127" xfId="0" applyFont="1" applyFill="1" applyBorder="1"/>
    <xf numFmtId="0" fontId="6" fillId="45" borderId="128" xfId="0" applyFont="1" applyFill="1" applyBorder="1"/>
    <xf numFmtId="4" fontId="43" fillId="0" borderId="19" xfId="0" applyNumberFormat="1" applyFont="1" applyBorder="1" applyAlignment="1">
      <alignment vertical="center"/>
    </xf>
    <xf numFmtId="4" fontId="43" fillId="0" borderId="21" xfId="0" applyNumberFormat="1" applyFont="1" applyBorder="1" applyAlignment="1">
      <alignment vertical="center"/>
    </xf>
    <xf numFmtId="0" fontId="62" fillId="0" borderId="87" xfId="0" applyFont="1" applyBorder="1"/>
    <xf numFmtId="4" fontId="62" fillId="0" borderId="85" xfId="0" applyNumberFormat="1" applyFont="1" applyBorder="1" applyAlignment="1">
      <alignment horizontal="right"/>
    </xf>
    <xf numFmtId="4" fontId="56" fillId="0" borderId="85" xfId="0" applyNumberFormat="1" applyFont="1" applyBorder="1" applyAlignment="1">
      <alignment horizontal="right"/>
    </xf>
    <xf numFmtId="4" fontId="56" fillId="0" borderId="86" xfId="0" applyNumberFormat="1" applyFont="1" applyBorder="1" applyAlignment="1">
      <alignment horizontal="right"/>
    </xf>
    <xf numFmtId="0" fontId="102" fillId="0" borderId="87" xfId="0" applyFont="1" applyBorder="1"/>
    <xf numFmtId="4" fontId="102" fillId="0" borderId="85" xfId="0" applyNumberFormat="1" applyFont="1" applyBorder="1" applyAlignment="1">
      <alignment horizontal="right"/>
    </xf>
    <xf numFmtId="2" fontId="102" fillId="0" borderId="85" xfId="0" applyNumberFormat="1" applyFont="1" applyBorder="1" applyAlignment="1">
      <alignment horizontal="right"/>
    </xf>
    <xf numFmtId="2" fontId="59" fillId="0" borderId="85" xfId="0" applyNumberFormat="1" applyFont="1" applyBorder="1" applyAlignment="1">
      <alignment horizontal="right"/>
    </xf>
    <xf numFmtId="4" fontId="59" fillId="0" borderId="85" xfId="0" applyNumberFormat="1" applyFont="1" applyBorder="1" applyAlignment="1">
      <alignment horizontal="right"/>
    </xf>
    <xf numFmtId="4" fontId="59" fillId="0" borderId="86" xfId="0" applyNumberFormat="1" applyFont="1" applyBorder="1" applyAlignment="1">
      <alignment horizontal="right"/>
    </xf>
    <xf numFmtId="4" fontId="59" fillId="0" borderId="85" xfId="88" applyNumberFormat="1" applyFont="1" applyBorder="1" applyAlignment="1">
      <alignment horizontal="right"/>
    </xf>
    <xf numFmtId="2" fontId="59" fillId="0" borderId="85" xfId="88" applyNumberFormat="1" applyFont="1" applyBorder="1" applyAlignment="1">
      <alignment horizontal="right"/>
    </xf>
    <xf numFmtId="4" fontId="102" fillId="0" borderId="99" xfId="0" applyNumberFormat="1" applyFont="1" applyBorder="1" applyAlignment="1">
      <alignment horizontal="right"/>
    </xf>
    <xf numFmtId="4" fontId="59" fillId="0" borderId="99" xfId="0" applyNumberFormat="1" applyFont="1" applyBorder="1" applyAlignment="1">
      <alignment horizontal="right"/>
    </xf>
    <xf numFmtId="0" fontId="62" fillId="0" borderId="109" xfId="0" applyFont="1" applyBorder="1"/>
    <xf numFmtId="4" fontId="62" fillId="0" borderId="11" xfId="0" applyNumberFormat="1" applyFont="1" applyBorder="1" applyAlignment="1">
      <alignment horizontal="right"/>
    </xf>
    <xf numFmtId="4" fontId="56" fillId="0" borderId="11" xfId="0" applyNumberFormat="1" applyFont="1" applyBorder="1" applyAlignment="1">
      <alignment horizontal="right"/>
    </xf>
    <xf numFmtId="4" fontId="56" fillId="0" borderId="88" xfId="0" applyNumberFormat="1" applyFont="1" applyBorder="1" applyAlignment="1">
      <alignment horizontal="right"/>
    </xf>
    <xf numFmtId="0" fontId="62" fillId="78" borderId="87" xfId="0" applyFont="1" applyFill="1" applyBorder="1"/>
    <xf numFmtId="4" fontId="62" fillId="78" borderId="85" xfId="0" applyNumberFormat="1" applyFont="1" applyFill="1" applyBorder="1" applyAlignment="1">
      <alignment horizontal="right"/>
    </xf>
    <xf numFmtId="4" fontId="56" fillId="78" borderId="85" xfId="0" applyNumberFormat="1" applyFont="1" applyFill="1" applyBorder="1" applyAlignment="1">
      <alignment horizontal="right"/>
    </xf>
    <xf numFmtId="4" fontId="56" fillId="78" borderId="86" xfId="0" applyNumberFormat="1" applyFont="1" applyFill="1" applyBorder="1" applyAlignment="1">
      <alignment horizontal="right"/>
    </xf>
    <xf numFmtId="4" fontId="62" fillId="78" borderId="90" xfId="0" applyNumberFormat="1" applyFont="1" applyFill="1" applyBorder="1" applyAlignment="1">
      <alignment horizontal="right"/>
    </xf>
    <xf numFmtId="4" fontId="56" fillId="78" borderId="90" xfId="0" applyNumberFormat="1" applyFont="1" applyFill="1" applyBorder="1" applyAlignment="1">
      <alignment horizontal="right"/>
    </xf>
    <xf numFmtId="4" fontId="56" fillId="78" borderId="91" xfId="0" applyNumberFormat="1" applyFont="1" applyFill="1" applyBorder="1" applyAlignment="1">
      <alignment horizontal="right"/>
    </xf>
    <xf numFmtId="0" fontId="104" fillId="45" borderId="109" xfId="0" applyFont="1" applyFill="1" applyBorder="1"/>
    <xf numFmtId="0" fontId="104" fillId="45" borderId="110" xfId="0" applyFont="1" applyFill="1" applyBorder="1"/>
    <xf numFmtId="0" fontId="104" fillId="45" borderId="88" xfId="0" applyFont="1" applyFill="1" applyBorder="1"/>
    <xf numFmtId="4" fontId="37" fillId="43" borderId="62" xfId="0" applyNumberFormat="1" applyFont="1" applyFill="1" applyBorder="1" applyAlignment="1">
      <alignment horizontal="right" vertical="center" wrapText="1"/>
    </xf>
    <xf numFmtId="4" fontId="36" fillId="0" borderId="60" xfId="0" applyNumberFormat="1" applyFont="1" applyBorder="1" applyAlignment="1">
      <alignment horizontal="right" vertical="center" wrapText="1"/>
    </xf>
    <xf numFmtId="4" fontId="36" fillId="0" borderId="37" xfId="0" applyNumberFormat="1" applyFont="1" applyBorder="1" applyAlignment="1">
      <alignment horizontal="right" vertical="center" wrapText="1"/>
    </xf>
    <xf numFmtId="4" fontId="35" fillId="41" borderId="34" xfId="0" applyNumberFormat="1" applyFont="1" applyFill="1" applyBorder="1" applyAlignment="1">
      <alignment horizontal="right" vertical="center" wrapText="1"/>
    </xf>
    <xf numFmtId="4" fontId="37" fillId="41" borderId="34" xfId="0" applyNumberFormat="1" applyFont="1" applyFill="1" applyBorder="1" applyAlignment="1">
      <alignment horizontal="right" vertical="center" wrapText="1"/>
    </xf>
    <xf numFmtId="4" fontId="37" fillId="41" borderId="33" xfId="0" applyNumberFormat="1" applyFont="1" applyFill="1" applyBorder="1" applyAlignment="1">
      <alignment horizontal="right" vertical="center" wrapText="1"/>
    </xf>
    <xf numFmtId="4" fontId="34" fillId="0" borderId="15" xfId="0" applyNumberFormat="1" applyFont="1" applyBorder="1" applyAlignment="1" applyProtection="1">
      <alignment horizontal="right" vertical="center"/>
      <protection locked="0"/>
    </xf>
    <xf numFmtId="169" fontId="72" fillId="0" borderId="0" xfId="88" applyNumberFormat="1" applyFont="1" applyAlignment="1">
      <alignment horizontal="center" vertical="center"/>
    </xf>
    <xf numFmtId="49" fontId="34" fillId="0" borderId="0" xfId="0" applyNumberFormat="1" applyFont="1" applyAlignment="1">
      <alignment horizontal="right" vertical="center"/>
    </xf>
    <xf numFmtId="4" fontId="34" fillId="0" borderId="0" xfId="0" applyNumberFormat="1" applyFont="1" applyAlignment="1">
      <alignment horizontal="right" vertical="center"/>
    </xf>
    <xf numFmtId="171" fontId="4" fillId="0" borderId="0" xfId="88" applyNumberFormat="1"/>
    <xf numFmtId="164" fontId="4" fillId="0" borderId="0" xfId="88" applyNumberFormat="1"/>
    <xf numFmtId="4" fontId="72" fillId="0" borderId="60" xfId="88" applyNumberFormat="1" applyFont="1" applyFill="1" applyBorder="1"/>
    <xf numFmtId="4" fontId="4" fillId="0" borderId="60" xfId="88" applyNumberFormat="1" applyFill="1" applyBorder="1"/>
    <xf numFmtId="164" fontId="26" fillId="0" borderId="60" xfId="40" applyNumberFormat="1" applyFont="1" applyFill="1" applyBorder="1" applyAlignment="1" applyProtection="1">
      <alignment horizontal="right" wrapText="1"/>
      <protection locked="0"/>
    </xf>
    <xf numFmtId="4" fontId="68" fillId="0" borderId="49" xfId="40" applyNumberFormat="1" applyFont="1" applyFill="1" applyBorder="1" applyAlignment="1" applyProtection="1">
      <alignment vertical="center" wrapText="1"/>
      <protection locked="0" hidden="1"/>
    </xf>
    <xf numFmtId="4" fontId="65" fillId="0" borderId="44" xfId="40" applyNumberFormat="1" applyFont="1" applyFill="1" applyBorder="1" applyAlignment="1" applyProtection="1">
      <alignment vertical="center" wrapText="1"/>
      <protection locked="0" hidden="1"/>
    </xf>
    <xf numFmtId="4" fontId="72" fillId="0" borderId="21" xfId="40" applyNumberFormat="1" applyFont="1" applyFill="1" applyBorder="1" applyAlignment="1" applyProtection="1">
      <alignment vertical="center" wrapText="1"/>
      <protection locked="0" hidden="1"/>
    </xf>
    <xf numFmtId="4" fontId="72" fillId="0" borderId="49" xfId="40" applyNumberFormat="1" applyFont="1" applyFill="1" applyBorder="1" applyAlignment="1" applyProtection="1">
      <alignment vertical="center" wrapText="1"/>
      <protection locked="0" hidden="1"/>
    </xf>
    <xf numFmtId="4" fontId="5" fillId="0" borderId="44" xfId="40" applyNumberFormat="1" applyFill="1" applyBorder="1" applyAlignment="1" applyProtection="1">
      <alignment vertical="center" wrapText="1"/>
      <protection locked="0" hidden="1"/>
    </xf>
    <xf numFmtId="4" fontId="68" fillId="0" borderId="44" xfId="40" applyNumberFormat="1" applyFont="1" applyFill="1" applyBorder="1" applyAlignment="1" applyProtection="1">
      <alignment vertical="center" wrapText="1"/>
      <protection locked="0" hidden="1"/>
    </xf>
    <xf numFmtId="4" fontId="68" fillId="0" borderId="21" xfId="40" applyNumberFormat="1" applyFont="1" applyFill="1" applyBorder="1" applyAlignment="1" applyProtection="1">
      <alignment vertical="center" wrapText="1"/>
      <protection locked="0" hidden="1"/>
    </xf>
    <xf numFmtId="4" fontId="68" fillId="0" borderId="17" xfId="40" applyNumberFormat="1" applyFont="1" applyFill="1" applyBorder="1" applyAlignment="1">
      <alignment vertical="center" wrapText="1"/>
    </xf>
    <xf numFmtId="4" fontId="68" fillId="0" borderId="44" xfId="40" applyNumberFormat="1" applyFont="1" applyFill="1" applyBorder="1" applyAlignment="1">
      <alignment vertical="center" wrapText="1"/>
    </xf>
    <xf numFmtId="4" fontId="72" fillId="0" borderId="44" xfId="40" applyNumberFormat="1" applyFont="1" applyFill="1" applyBorder="1" applyAlignment="1">
      <alignment vertical="center" wrapText="1"/>
    </xf>
    <xf numFmtId="4" fontId="72" fillId="0" borderId="21" xfId="40" applyNumberFormat="1" applyFont="1" applyFill="1" applyBorder="1" applyAlignment="1">
      <alignment wrapText="1"/>
    </xf>
    <xf numFmtId="4" fontId="4" fillId="0" borderId="44" xfId="40" applyNumberFormat="1" applyFont="1" applyFill="1" applyBorder="1" applyAlignment="1">
      <alignment vertical="center" wrapText="1"/>
    </xf>
    <xf numFmtId="4" fontId="68" fillId="0" borderId="20" xfId="40" applyNumberFormat="1" applyFont="1" applyFill="1" applyBorder="1" applyAlignment="1" applyProtection="1">
      <alignment vertical="center" wrapText="1"/>
      <protection locked="0" hidden="1"/>
    </xf>
    <xf numFmtId="4" fontId="71" fillId="0" borderId="46" xfId="40" applyNumberFormat="1" applyFont="1" applyFill="1" applyBorder="1" applyAlignment="1" applyProtection="1">
      <alignment vertical="center" wrapText="1"/>
      <protection locked="0" hidden="1"/>
    </xf>
    <xf numFmtId="4" fontId="51" fillId="0" borderId="46" xfId="40" applyNumberFormat="1" applyFont="1" applyFill="1" applyBorder="1" applyAlignment="1" applyProtection="1">
      <alignment vertical="center" wrapText="1"/>
      <protection locked="0" hidden="1"/>
    </xf>
    <xf numFmtId="4" fontId="51" fillId="0" borderId="44" xfId="40" applyNumberFormat="1" applyFont="1" applyFill="1" applyBorder="1" applyAlignment="1">
      <alignment vertical="center" wrapText="1"/>
    </xf>
    <xf numFmtId="4" fontId="71" fillId="0" borderId="46" xfId="40" applyNumberFormat="1" applyFont="1" applyFill="1" applyBorder="1" applyAlignment="1">
      <alignment vertical="center" wrapText="1"/>
    </xf>
    <xf numFmtId="4" fontId="71" fillId="0" borderId="22" xfId="40" applyNumberFormat="1" applyFont="1" applyFill="1" applyBorder="1" applyAlignment="1" applyProtection="1">
      <alignment vertical="center" wrapText="1"/>
      <protection locked="0" hidden="1"/>
    </xf>
    <xf numFmtId="4" fontId="36" fillId="0" borderId="0" xfId="0" applyNumberFormat="1" applyFont="1" applyAlignment="1">
      <alignment vertical="center"/>
    </xf>
    <xf numFmtId="4" fontId="36" fillId="0" borderId="0" xfId="0" applyNumberFormat="1" applyFont="1" applyFill="1" applyAlignment="1">
      <alignment vertical="center"/>
    </xf>
    <xf numFmtId="4" fontId="40" fillId="0" borderId="0" xfId="0" applyNumberFormat="1" applyFont="1" applyFill="1" applyAlignment="1">
      <alignment horizontal="left" vertical="center"/>
    </xf>
    <xf numFmtId="4" fontId="40" fillId="0" borderId="0" xfId="0" applyNumberFormat="1" applyFont="1" applyFill="1" applyAlignment="1">
      <alignment horizontal="center" vertical="center"/>
    </xf>
    <xf numFmtId="4" fontId="36" fillId="0" borderId="0" xfId="0" applyNumberFormat="1" applyFont="1" applyFill="1" applyAlignment="1">
      <alignment horizontal="right" vertical="center"/>
    </xf>
    <xf numFmtId="4" fontId="50" fillId="0" borderId="0" xfId="0" applyNumberFormat="1" applyFont="1" applyFill="1" applyAlignment="1">
      <alignment vertical="center"/>
    </xf>
    <xf numFmtId="4" fontId="72" fillId="0" borderId="62" xfId="88" applyNumberFormat="1" applyFont="1" applyFill="1" applyBorder="1" applyAlignment="1">
      <alignment horizontal="right"/>
    </xf>
    <xf numFmtId="4" fontId="4" fillId="0" borderId="60" xfId="88" applyNumberFormat="1" applyFill="1" applyBorder="1" applyAlignment="1">
      <alignment horizontal="right"/>
    </xf>
    <xf numFmtId="4" fontId="72" fillId="0" borderId="60" xfId="88" applyNumberFormat="1" applyFont="1" applyFill="1" applyBorder="1" applyAlignment="1">
      <alignment horizontal="right"/>
    </xf>
    <xf numFmtId="4" fontId="51" fillId="0" borderId="60" xfId="88" applyNumberFormat="1" applyFont="1" applyFill="1" applyBorder="1" applyAlignment="1">
      <alignment horizontal="right"/>
    </xf>
    <xf numFmtId="4" fontId="102" fillId="0" borderId="85" xfId="0" applyNumberFormat="1" applyFont="1" applyFill="1" applyBorder="1" applyAlignment="1">
      <alignment horizontal="right"/>
    </xf>
    <xf numFmtId="4" fontId="59" fillId="0" borderId="85" xfId="88" applyNumberFormat="1" applyFont="1" applyFill="1" applyBorder="1" applyAlignment="1">
      <alignment horizontal="right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Alignment="1">
      <alignment vertical="center"/>
    </xf>
    <xf numFmtId="0" fontId="68" fillId="42" borderId="14" xfId="40" applyFont="1" applyFill="1" applyBorder="1" applyAlignment="1" applyProtection="1">
      <alignment horizontal="center" vertical="center"/>
      <protection locked="0" hidden="1"/>
    </xf>
    <xf numFmtId="0" fontId="68" fillId="0" borderId="0" xfId="40" applyFont="1" applyAlignment="1">
      <alignment horizontal="center" vertical="center"/>
    </xf>
    <xf numFmtId="0" fontId="68" fillId="0" borderId="45" xfId="40" applyFont="1" applyBorder="1" applyAlignment="1">
      <alignment horizontal="center" vertical="center"/>
    </xf>
    <xf numFmtId="0" fontId="67" fillId="42" borderId="53" xfId="40" applyFont="1" applyFill="1" applyBorder="1" applyAlignment="1" applyProtection="1">
      <alignment horizontal="center" vertical="center"/>
      <protection locked="0" hidden="1"/>
    </xf>
    <xf numFmtId="0" fontId="68" fillId="42" borderId="0" xfId="40" applyFont="1" applyFill="1" applyAlignment="1" applyProtection="1">
      <alignment horizontal="center" vertical="center"/>
      <protection locked="0" hidden="1"/>
    </xf>
    <xf numFmtId="0" fontId="69" fillId="42" borderId="0" xfId="40" applyFont="1" applyFill="1" applyAlignment="1" applyProtection="1">
      <alignment horizontal="center" vertical="center"/>
      <protection locked="0" hidden="1"/>
    </xf>
    <xf numFmtId="0" fontId="69" fillId="42" borderId="0" xfId="40" applyFont="1" applyFill="1" applyAlignment="1" applyProtection="1">
      <alignment horizontal="center" vertical="top"/>
      <protection locked="0" hidden="1"/>
    </xf>
    <xf numFmtId="0" fontId="4" fillId="0" borderId="0" xfId="88" applyAlignment="1">
      <alignment horizontal="left"/>
    </xf>
    <xf numFmtId="0" fontId="4" fillId="0" borderId="0" xfId="88" applyAlignment="1">
      <alignment horizontal="center"/>
    </xf>
    <xf numFmtId="0" fontId="72" fillId="0" borderId="0" xfId="88" applyFont="1" applyAlignment="1">
      <alignment horizontal="center"/>
    </xf>
    <xf numFmtId="0" fontId="72" fillId="0" borderId="130" xfId="88" applyFont="1" applyBorder="1" applyAlignment="1">
      <alignment horizontal="center"/>
    </xf>
    <xf numFmtId="0" fontId="4" fillId="0" borderId="29" xfId="88" applyBorder="1" applyAlignment="1">
      <alignment vertical="top" wrapText="1"/>
    </xf>
    <xf numFmtId="0" fontId="4" fillId="0" borderId="11" xfId="88" applyBorder="1" applyAlignment="1">
      <alignment vertical="top" wrapText="1"/>
    </xf>
    <xf numFmtId="0" fontId="4" fillId="0" borderId="29" xfId="88" applyBorder="1" applyAlignment="1">
      <alignment wrapText="1"/>
    </xf>
    <xf numFmtId="0" fontId="4" fillId="0" borderId="11" xfId="88" applyBorder="1" applyAlignment="1">
      <alignment wrapText="1"/>
    </xf>
    <xf numFmtId="0" fontId="72" fillId="46" borderId="29" xfId="88" applyFont="1" applyFill="1" applyBorder="1" applyAlignment="1">
      <alignment wrapText="1"/>
    </xf>
    <xf numFmtId="0" fontId="4" fillId="46" borderId="11" xfId="88" applyFill="1" applyBorder="1" applyAlignment="1">
      <alignment wrapText="1"/>
    </xf>
    <xf numFmtId="0" fontId="72" fillId="0" borderId="29" xfId="88" applyFont="1" applyBorder="1" applyAlignment="1">
      <alignment wrapText="1"/>
    </xf>
    <xf numFmtId="14" fontId="72" fillId="0" borderId="0" xfId="88" applyNumberFormat="1" applyFont="1" applyAlignment="1">
      <alignment horizontal="left"/>
    </xf>
    <xf numFmtId="0" fontId="72" fillId="0" borderId="0" xfId="88" applyFont="1" applyAlignment="1">
      <alignment horizontal="left"/>
    </xf>
    <xf numFmtId="0" fontId="4" fillId="0" borderId="70" xfId="88" applyBorder="1"/>
    <xf numFmtId="0" fontId="4" fillId="0" borderId="53" xfId="88" applyBorder="1"/>
    <xf numFmtId="0" fontId="4" fillId="0" borderId="66" xfId="88" applyBorder="1"/>
    <xf numFmtId="0" fontId="72" fillId="0" borderId="64" xfId="88" applyFont="1" applyBorder="1" applyAlignment="1">
      <alignment horizontal="center"/>
    </xf>
    <xf numFmtId="4" fontId="4" fillId="0" borderId="0" xfId="88" applyNumberFormat="1" applyAlignment="1">
      <alignment horizontal="center"/>
    </xf>
    <xf numFmtId="4" fontId="4" fillId="0" borderId="0" xfId="88" applyNumberFormat="1" applyAlignment="1">
      <alignment horizontal="right"/>
    </xf>
    <xf numFmtId="0" fontId="4" fillId="0" borderId="56" xfId="88" applyBorder="1" applyAlignment="1">
      <alignment wrapText="1"/>
    </xf>
    <xf numFmtId="0" fontId="4" fillId="0" borderId="41" xfId="88" applyBorder="1" applyAlignment="1">
      <alignment wrapText="1"/>
    </xf>
    <xf numFmtId="0" fontId="4" fillId="0" borderId="22" xfId="88" applyBorder="1" applyAlignment="1">
      <alignment wrapText="1"/>
    </xf>
    <xf numFmtId="0" fontId="4" fillId="0" borderId="77" xfId="88" applyBorder="1" applyAlignment="1">
      <alignment wrapText="1"/>
    </xf>
    <xf numFmtId="0" fontId="4" fillId="0" borderId="14" xfId="88" applyBorder="1"/>
    <xf numFmtId="0" fontId="4" fillId="0" borderId="13" xfId="88" applyBorder="1"/>
    <xf numFmtId="4" fontId="4" fillId="0" borderId="0" xfId="88" applyNumberFormat="1"/>
    <xf numFmtId="4" fontId="4" fillId="0" borderId="0" xfId="88" applyNumberFormat="1" applyAlignment="1">
      <alignment horizontal="left"/>
    </xf>
    <xf numFmtId="0" fontId="4" fillId="0" borderId="130" xfId="88" applyBorder="1" applyAlignment="1">
      <alignment horizontal="center"/>
    </xf>
    <xf numFmtId="4" fontId="35" fillId="43" borderId="57" xfId="0" applyNumberFormat="1" applyFont="1" applyFill="1" applyBorder="1" applyAlignment="1" applyProtection="1">
      <alignment vertical="center" wrapText="1"/>
      <protection locked="0"/>
    </xf>
    <xf numFmtId="4" fontId="35" fillId="41" borderId="16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4" fillId="0" borderId="20" xfId="0" applyNumberFormat="1" applyFont="1" applyBorder="1" applyAlignment="1" applyProtection="1">
      <alignment vertical="center" wrapText="1"/>
      <protection locked="0"/>
    </xf>
    <xf numFmtId="4" fontId="34" fillId="0" borderId="56" xfId="0" applyNumberFormat="1" applyFont="1" applyBorder="1" applyAlignment="1" applyProtection="1">
      <alignment vertical="center" wrapText="1"/>
      <protection locked="0"/>
    </xf>
    <xf numFmtId="4" fontId="34" fillId="0" borderId="22" xfId="0" applyNumberFormat="1" applyFont="1" applyBorder="1" applyAlignment="1" applyProtection="1">
      <alignment vertical="center" wrapText="1"/>
      <protection locked="0"/>
    </xf>
    <xf numFmtId="0" fontId="34" fillId="0" borderId="25" xfId="0" applyFont="1" applyBorder="1" applyAlignment="1">
      <alignment vertical="center"/>
    </xf>
    <xf numFmtId="4" fontId="34" fillId="0" borderId="55" xfId="0" applyNumberFormat="1" applyFont="1" applyBorder="1" applyAlignment="1" applyProtection="1">
      <alignment horizontal="left" vertical="center" wrapText="1"/>
      <protection locked="0"/>
    </xf>
    <xf numFmtId="4" fontId="34" fillId="0" borderId="50" xfId="0" applyNumberFormat="1" applyFont="1" applyBorder="1" applyAlignment="1" applyProtection="1">
      <alignment horizontal="left" vertical="center" wrapText="1"/>
      <protection locked="0"/>
    </xf>
    <xf numFmtId="4" fontId="34" fillId="0" borderId="28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Border="1" applyAlignment="1" applyProtection="1">
      <alignment horizontal="left" vertical="center" wrapText="1" indent="2"/>
      <protection locked="0"/>
    </xf>
    <xf numFmtId="0" fontId="34" fillId="0" borderId="41" xfId="0" applyFont="1" applyBorder="1" applyAlignment="1">
      <alignment horizontal="left" vertical="center" wrapText="1" indent="2"/>
    </xf>
    <xf numFmtId="0" fontId="34" fillId="0" borderId="22" xfId="0" applyFont="1" applyBorder="1" applyAlignment="1">
      <alignment horizontal="left" vertical="center" wrapText="1" indent="2"/>
    </xf>
    <xf numFmtId="165" fontId="35" fillId="43" borderId="57" xfId="86" applyFont="1" applyFill="1" applyBorder="1" applyAlignment="1" applyProtection="1">
      <alignment horizontal="left" vertical="center" wrapText="1"/>
      <protection locked="0"/>
    </xf>
    <xf numFmtId="165" fontId="35" fillId="43" borderId="38" xfId="86" applyFont="1" applyFill="1" applyBorder="1" applyAlignment="1" applyProtection="1">
      <alignment horizontal="left" vertical="center" wrapText="1"/>
      <protection locked="0"/>
    </xf>
    <xf numFmtId="165" fontId="35" fillId="43" borderId="16" xfId="86" applyFont="1" applyFill="1" applyBorder="1" applyAlignment="1" applyProtection="1">
      <alignment horizontal="left" vertical="center" wrapText="1"/>
      <protection locked="0"/>
    </xf>
    <xf numFmtId="4" fontId="35" fillId="0" borderId="56" xfId="0" applyNumberFormat="1" applyFont="1" applyBorder="1" applyAlignment="1" applyProtection="1">
      <alignment vertical="center" wrapText="1"/>
      <protection locked="0"/>
    </xf>
    <xf numFmtId="4" fontId="35" fillId="43" borderId="54" xfId="0" applyNumberFormat="1" applyFont="1" applyFill="1" applyBorder="1" applyAlignment="1" applyProtection="1">
      <alignment vertical="center" wrapText="1"/>
      <protection locked="0"/>
    </xf>
    <xf numFmtId="0" fontId="34" fillId="43" borderId="79" xfId="0" applyFont="1" applyFill="1" applyBorder="1" applyAlignment="1">
      <alignment vertical="center"/>
    </xf>
    <xf numFmtId="4" fontId="34" fillId="0" borderId="56" xfId="0" applyNumberFormat="1" applyFont="1" applyBorder="1" applyAlignment="1" applyProtection="1">
      <alignment horizontal="left" vertical="center" wrapText="1"/>
      <protection locked="0"/>
    </xf>
    <xf numFmtId="4" fontId="35" fillId="43" borderId="57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>
      <alignment horizontal="center" vertical="center"/>
    </xf>
    <xf numFmtId="4" fontId="34" fillId="0" borderId="56" xfId="0" applyNumberFormat="1" applyFont="1" applyBorder="1" applyAlignment="1">
      <alignment horizontal="left" vertical="center" wrapText="1"/>
    </xf>
    <xf numFmtId="4" fontId="34" fillId="0" borderId="56" xfId="0" applyNumberFormat="1" applyFont="1" applyBorder="1" applyAlignment="1">
      <alignment horizontal="left" vertical="center"/>
    </xf>
    <xf numFmtId="4" fontId="34" fillId="0" borderId="56" xfId="0" applyNumberFormat="1" applyFont="1" applyBorder="1" applyAlignment="1" applyProtection="1">
      <alignment horizontal="left" vertical="center"/>
      <protection locked="0"/>
    </xf>
    <xf numFmtId="4" fontId="34" fillId="0" borderId="22" xfId="0" applyNumberFormat="1" applyFont="1" applyBorder="1" applyAlignment="1" applyProtection="1">
      <alignment horizontal="left" vertical="center"/>
      <protection locked="0"/>
    </xf>
    <xf numFmtId="4" fontId="35" fillId="43" borderId="38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1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56" xfId="0" applyNumberFormat="1" applyFont="1" applyBorder="1" applyAlignment="1" applyProtection="1">
      <alignment horizontal="justify" vertical="center"/>
      <protection locked="0"/>
    </xf>
    <xf numFmtId="4" fontId="34" fillId="0" borderId="22" xfId="0" applyNumberFormat="1" applyFont="1" applyBorder="1" applyAlignment="1" applyProtection="1">
      <alignment horizontal="justify" vertical="center"/>
      <protection locked="0"/>
    </xf>
    <xf numFmtId="0" fontId="34" fillId="0" borderId="0" xfId="0" applyFont="1" applyAlignment="1">
      <alignment wrapText="1"/>
    </xf>
    <xf numFmtId="0" fontId="34" fillId="0" borderId="0" xfId="0" applyFont="1"/>
    <xf numFmtId="4" fontId="35" fillId="41" borderId="57" xfId="0" applyNumberFormat="1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4" fontId="38" fillId="0" borderId="0" xfId="0" applyNumberFormat="1" applyFont="1" applyAlignment="1" applyProtection="1">
      <alignment horizontal="left" vertical="center" wrapText="1"/>
      <protection locked="0"/>
    </xf>
    <xf numFmtId="4" fontId="38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/>
    </xf>
    <xf numFmtId="4" fontId="34" fillId="0" borderId="56" xfId="0" applyNumberFormat="1" applyFont="1" applyBorder="1" applyAlignment="1" applyProtection="1">
      <alignment horizontal="left" vertical="center" indent="1"/>
      <protection locked="0"/>
    </xf>
    <xf numFmtId="4" fontId="34" fillId="0" borderId="22" xfId="0" applyNumberFormat="1" applyFont="1" applyBorder="1" applyAlignment="1" applyProtection="1">
      <alignment horizontal="left" vertical="center" indent="1"/>
      <protection locked="0"/>
    </xf>
    <xf numFmtId="4" fontId="34" fillId="0" borderId="57" xfId="0" applyNumberFormat="1" applyFont="1" applyBorder="1" applyAlignment="1" applyProtection="1">
      <alignment horizontal="left" vertical="center" wrapText="1"/>
      <protection locked="0"/>
    </xf>
    <xf numFmtId="4" fontId="34" fillId="0" borderId="16" xfId="0" applyNumberFormat="1" applyFont="1" applyBorder="1" applyAlignment="1" applyProtection="1">
      <alignment horizontal="left" vertical="center" wrapText="1"/>
      <protection locked="0"/>
    </xf>
    <xf numFmtId="4" fontId="35" fillId="43" borderId="57" xfId="0" applyNumberFormat="1" applyFont="1" applyFill="1" applyBorder="1" applyAlignment="1" applyProtection="1">
      <alignment horizontal="left" vertical="center"/>
      <protection locked="0"/>
    </xf>
    <xf numFmtId="4" fontId="35" fillId="43" borderId="16" xfId="0" applyNumberFormat="1" applyFont="1" applyFill="1" applyBorder="1" applyAlignment="1" applyProtection="1">
      <alignment horizontal="left" vertical="center"/>
      <protection locked="0"/>
    </xf>
    <xf numFmtId="4" fontId="35" fillId="43" borderId="52" xfId="0" applyNumberFormat="1" applyFont="1" applyFill="1" applyBorder="1" applyAlignment="1" applyProtection="1">
      <alignment horizontal="center" vertical="center" wrapText="1"/>
      <protection locked="0"/>
    </xf>
    <xf numFmtId="4" fontId="35" fillId="43" borderId="63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41" xfId="0" applyNumberFormat="1" applyFont="1" applyBorder="1" applyAlignment="1" applyProtection="1">
      <alignment vertical="center" wrapText="1"/>
      <protection locked="0"/>
    </xf>
    <xf numFmtId="4" fontId="34" fillId="0" borderId="71" xfId="0" applyNumberFormat="1" applyFont="1" applyBorder="1" applyAlignment="1" applyProtection="1">
      <alignment vertical="center" wrapText="1"/>
      <protection locked="0"/>
    </xf>
    <xf numFmtId="4" fontId="34" fillId="0" borderId="67" xfId="0" applyNumberFormat="1" applyFont="1" applyBorder="1" applyAlignment="1" applyProtection="1">
      <alignment vertical="center" wrapText="1"/>
      <protection locked="0"/>
    </xf>
    <xf numFmtId="4" fontId="34" fillId="0" borderId="24" xfId="0" applyNumberFormat="1" applyFont="1" applyBorder="1" applyAlignment="1" applyProtection="1">
      <alignment vertical="center" wrapText="1"/>
      <protection locked="0"/>
    </xf>
    <xf numFmtId="4" fontId="35" fillId="43" borderId="57" xfId="0" applyNumberFormat="1" applyFont="1" applyFill="1" applyBorder="1" applyAlignment="1">
      <alignment horizontal="center" vertical="center" wrapText="1"/>
    </xf>
    <xf numFmtId="4" fontId="35" fillId="43" borderId="16" xfId="0" applyNumberFormat="1" applyFont="1" applyFill="1" applyBorder="1" applyAlignment="1">
      <alignment horizontal="center" vertical="center" wrapText="1"/>
    </xf>
    <xf numFmtId="4" fontId="35" fillId="41" borderId="57" xfId="0" applyNumberFormat="1" applyFont="1" applyFill="1" applyBorder="1" applyAlignment="1" applyProtection="1">
      <alignment vertical="center"/>
      <protection locked="0"/>
    </xf>
    <xf numFmtId="4" fontId="35" fillId="41" borderId="16" xfId="0" applyNumberFormat="1" applyFont="1" applyFill="1" applyBorder="1" applyAlignment="1" applyProtection="1">
      <alignment vertical="center"/>
      <protection locked="0"/>
    </xf>
    <xf numFmtId="0" fontId="34" fillId="0" borderId="38" xfId="0" applyFont="1" applyBorder="1" applyAlignment="1">
      <alignment horizontal="center" vertical="center" wrapText="1"/>
    </xf>
    <xf numFmtId="4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84" xfId="0" applyFont="1" applyBorder="1" applyAlignment="1">
      <alignment vertical="center"/>
    </xf>
    <xf numFmtId="4" fontId="35" fillId="43" borderId="57" xfId="0" applyNumberFormat="1" applyFont="1" applyFill="1" applyBorder="1" applyAlignment="1">
      <alignment horizontal="left" vertical="center" wrapText="1"/>
    </xf>
    <xf numFmtId="4" fontId="35" fillId="43" borderId="16" xfId="0" applyNumberFormat="1" applyFont="1" applyFill="1" applyBorder="1" applyAlignment="1">
      <alignment horizontal="left" vertical="center" wrapText="1"/>
    </xf>
    <xf numFmtId="4" fontId="35" fillId="41" borderId="57" xfId="0" applyNumberFormat="1" applyFont="1" applyFill="1" applyBorder="1" applyAlignment="1">
      <alignment horizontal="center" vertical="center"/>
    </xf>
    <xf numFmtId="4" fontId="35" fillId="41" borderId="16" xfId="0" applyNumberFormat="1" applyFont="1" applyFill="1" applyBorder="1" applyAlignment="1">
      <alignment horizontal="center" vertical="center"/>
    </xf>
    <xf numFmtId="4" fontId="35" fillId="0" borderId="71" xfId="0" applyNumberFormat="1" applyFont="1" applyBorder="1" applyAlignment="1" applyProtection="1">
      <alignment horizontal="justify" vertical="center"/>
      <protection locked="0"/>
    </xf>
    <xf numFmtId="4" fontId="35" fillId="0" borderId="24" xfId="0" applyNumberFormat="1" applyFont="1" applyBorder="1" applyAlignment="1" applyProtection="1">
      <alignment horizontal="justify" vertical="center"/>
      <protection locked="0"/>
    </xf>
    <xf numFmtId="4" fontId="34" fillId="0" borderId="54" xfId="0" applyNumberFormat="1" applyFont="1" applyBorder="1" applyAlignment="1">
      <alignment horizontal="left" vertical="center" wrapText="1"/>
    </xf>
    <xf numFmtId="4" fontId="34" fillId="0" borderId="20" xfId="0" applyNumberFormat="1" applyFont="1" applyBorder="1" applyAlignment="1">
      <alignment horizontal="left" vertical="center" wrapText="1"/>
    </xf>
    <xf numFmtId="4" fontId="35" fillId="0" borderId="56" xfId="0" applyNumberFormat="1" applyFont="1" applyBorder="1" applyAlignment="1" applyProtection="1">
      <alignment horizontal="justify" vertical="center"/>
      <protection locked="0"/>
    </xf>
    <xf numFmtId="4" fontId="35" fillId="0" borderId="22" xfId="0" applyNumberFormat="1" applyFont="1" applyBorder="1" applyAlignment="1" applyProtection="1">
      <alignment horizontal="justify" vertical="center"/>
      <protection locked="0"/>
    </xf>
    <xf numFmtId="4" fontId="35" fillId="41" borderId="57" xfId="0" applyNumberFormat="1" applyFont="1" applyFill="1" applyBorder="1" applyAlignment="1" applyProtection="1">
      <alignment horizontal="justify" vertical="center"/>
      <protection locked="0"/>
    </xf>
    <xf numFmtId="4" fontId="35" fillId="41" borderId="16" xfId="0" applyNumberFormat="1" applyFont="1" applyFill="1" applyBorder="1" applyAlignment="1" applyProtection="1">
      <alignment horizontal="justify" vertical="center"/>
      <protection locked="0"/>
    </xf>
    <xf numFmtId="0" fontId="39" fillId="0" borderId="0" xfId="0" applyFont="1" applyAlignment="1">
      <alignment horizontal="left" vertical="center" wrapText="1"/>
    </xf>
    <xf numFmtId="4" fontId="34" fillId="0" borderId="56" xfId="0" applyNumberFormat="1" applyFont="1" applyBorder="1" applyAlignment="1">
      <alignment vertical="center" wrapText="1"/>
    </xf>
    <xf numFmtId="4" fontId="34" fillId="0" borderId="22" xfId="0" applyNumberFormat="1" applyFont="1" applyBorder="1" applyAlignment="1">
      <alignment vertical="center" wrapText="1"/>
    </xf>
    <xf numFmtId="4" fontId="34" fillId="0" borderId="65" xfId="0" applyNumberFormat="1" applyFont="1" applyBorder="1" applyAlignment="1">
      <alignment vertical="center" wrapText="1"/>
    </xf>
    <xf numFmtId="4" fontId="34" fillId="0" borderId="46" xfId="0" applyNumberFormat="1" applyFont="1" applyBorder="1" applyAlignment="1">
      <alignment vertical="center" wrapText="1"/>
    </xf>
    <xf numFmtId="4" fontId="34" fillId="0" borderId="55" xfId="0" applyNumberFormat="1" applyFont="1" applyBorder="1" applyAlignment="1">
      <alignment vertical="center" wrapText="1"/>
    </xf>
    <xf numFmtId="4" fontId="34" fillId="0" borderId="28" xfId="0" applyNumberFormat="1" applyFont="1" applyBorder="1" applyAlignment="1">
      <alignment vertical="center" wrapText="1"/>
    </xf>
    <xf numFmtId="4" fontId="34" fillId="0" borderId="71" xfId="0" applyNumberFormat="1" applyFont="1" applyBorder="1" applyAlignment="1">
      <alignment vertical="center" wrapText="1"/>
    </xf>
    <xf numFmtId="4" fontId="34" fillId="0" borderId="24" xfId="0" applyNumberFormat="1" applyFont="1" applyBorder="1" applyAlignment="1">
      <alignment vertical="center" wrapText="1"/>
    </xf>
    <xf numFmtId="4" fontId="35" fillId="0" borderId="56" xfId="0" applyNumberFormat="1" applyFont="1" applyBorder="1" applyAlignment="1" applyProtection="1">
      <alignment horizontal="left" vertical="center" wrapText="1"/>
      <protection locked="0"/>
    </xf>
    <xf numFmtId="4" fontId="35" fillId="0" borderId="22" xfId="0" applyNumberFormat="1" applyFont="1" applyBorder="1" applyAlignment="1" applyProtection="1">
      <alignment horizontal="left" vertical="center" wrapText="1"/>
      <protection locked="0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34" fillId="0" borderId="64" xfId="0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 applyProtection="1">
      <alignment vertical="center" wrapText="1"/>
      <protection locked="0"/>
    </xf>
    <xf numFmtId="4" fontId="34" fillId="0" borderId="18" xfId="0" applyNumberFormat="1" applyFont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/>
      <protection locked="0"/>
    </xf>
    <xf numFmtId="4" fontId="34" fillId="0" borderId="39" xfId="0" applyNumberFormat="1" applyFont="1" applyBorder="1" applyAlignment="1" applyProtection="1">
      <alignment vertical="center"/>
      <protection locked="0"/>
    </xf>
    <xf numFmtId="4" fontId="34" fillId="0" borderId="20" xfId="0" applyNumberFormat="1" applyFont="1" applyBorder="1" applyAlignment="1" applyProtection="1">
      <alignment vertical="center"/>
      <protection locked="0"/>
    </xf>
    <xf numFmtId="4" fontId="35" fillId="0" borderId="71" xfId="0" applyNumberFormat="1" applyFont="1" applyBorder="1" applyAlignment="1" applyProtection="1">
      <alignment horizontal="left" vertical="center" wrapText="1"/>
      <protection locked="0"/>
    </xf>
    <xf numFmtId="4" fontId="35" fillId="0" borderId="24" xfId="0" applyNumberFormat="1" applyFont="1" applyBorder="1" applyAlignment="1" applyProtection="1">
      <alignment horizontal="left" vertical="center" wrapText="1"/>
      <protection locked="0"/>
    </xf>
    <xf numFmtId="4" fontId="34" fillId="0" borderId="56" xfId="0" applyNumberFormat="1" applyFont="1" applyBorder="1" applyAlignment="1" applyProtection="1">
      <alignment horizontal="left" vertical="center" wrapText="1" indent="1"/>
      <protection locked="0"/>
    </xf>
    <xf numFmtId="4" fontId="34" fillId="0" borderId="22" xfId="0" applyNumberFormat="1" applyFont="1" applyBorder="1" applyAlignment="1" applyProtection="1">
      <alignment horizontal="left" vertical="center" wrapText="1" indent="1"/>
      <protection locked="0"/>
    </xf>
    <xf numFmtId="4" fontId="35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35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4" fillId="0" borderId="39" xfId="0" applyNumberFormat="1" applyFont="1" applyBorder="1" applyAlignment="1" applyProtection="1">
      <alignment vertical="center" wrapText="1"/>
      <protection locked="0"/>
    </xf>
    <xf numFmtId="4" fontId="35" fillId="43" borderId="38" xfId="0" applyNumberFormat="1" applyFont="1" applyFill="1" applyBorder="1" applyAlignment="1" applyProtection="1">
      <alignment horizontal="left" vertical="center"/>
      <protection locked="0"/>
    </xf>
    <xf numFmtId="4" fontId="35" fillId="43" borderId="57" xfId="0" applyNumberFormat="1" applyFont="1" applyFill="1" applyBorder="1" applyAlignment="1" applyProtection="1">
      <alignment horizontal="center" vertical="center"/>
      <protection locked="0"/>
    </xf>
    <xf numFmtId="4" fontId="35" fillId="43" borderId="38" xfId="0" applyNumberFormat="1" applyFont="1" applyFill="1" applyBorder="1" applyAlignment="1" applyProtection="1">
      <alignment horizontal="center" vertical="center"/>
      <protection locked="0"/>
    </xf>
    <xf numFmtId="4" fontId="35" fillId="43" borderId="16" xfId="0" applyNumberFormat="1" applyFont="1" applyFill="1" applyBorder="1" applyAlignment="1" applyProtection="1">
      <alignment horizontal="center" vertical="center"/>
      <protection locked="0"/>
    </xf>
    <xf numFmtId="4" fontId="34" fillId="0" borderId="56" xfId="0" applyNumberFormat="1" applyFont="1" applyBorder="1" applyAlignment="1" applyProtection="1">
      <alignment vertical="center"/>
      <protection locked="0"/>
    </xf>
    <xf numFmtId="4" fontId="34" fillId="0" borderId="41" xfId="0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4" fontId="34" fillId="0" borderId="57" xfId="0" applyNumberFormat="1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4" fontId="35" fillId="0" borderId="57" xfId="0" applyNumberFormat="1" applyFont="1" applyBorder="1" applyAlignment="1">
      <alignment horizontal="center" vertical="center"/>
    </xf>
    <xf numFmtId="4" fontId="35" fillId="0" borderId="16" xfId="0" applyNumberFormat="1" applyFont="1" applyBorder="1" applyAlignment="1">
      <alignment horizontal="center" vertical="center"/>
    </xf>
    <xf numFmtId="4" fontId="34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vertical="center"/>
    </xf>
    <xf numFmtId="4" fontId="35" fillId="0" borderId="54" xfId="0" applyNumberFormat="1" applyFont="1" applyBorder="1" applyAlignment="1" applyProtection="1">
      <alignment horizontal="left" vertical="center" wrapText="1"/>
      <protection locked="0"/>
    </xf>
    <xf numFmtId="4" fontId="35" fillId="0" borderId="20" xfId="0" applyNumberFormat="1" applyFont="1" applyBorder="1" applyAlignment="1" applyProtection="1">
      <alignment horizontal="left" vertical="center" wrapText="1"/>
      <protection locked="0"/>
    </xf>
    <xf numFmtId="4" fontId="34" fillId="0" borderId="54" xfId="0" applyNumberFormat="1" applyFont="1" applyBorder="1" applyAlignment="1">
      <alignment vertical="center" wrapText="1"/>
    </xf>
    <xf numFmtId="4" fontId="34" fillId="0" borderId="20" xfId="0" applyNumberFormat="1" applyFont="1" applyBorder="1" applyAlignment="1">
      <alignment vertical="center" wrapText="1"/>
    </xf>
    <xf numFmtId="4" fontId="35" fillId="43" borderId="77" xfId="0" applyNumberFormat="1" applyFont="1" applyFill="1" applyBorder="1" applyAlignment="1">
      <alignment horizontal="center" vertical="center"/>
    </xf>
    <xf numFmtId="4" fontId="35" fillId="43" borderId="13" xfId="0" applyNumberFormat="1" applyFont="1" applyFill="1" applyBorder="1" applyAlignment="1">
      <alignment horizontal="center" vertical="center"/>
    </xf>
    <xf numFmtId="4" fontId="35" fillId="43" borderId="57" xfId="0" applyNumberFormat="1" applyFont="1" applyFill="1" applyBorder="1" applyAlignment="1">
      <alignment horizontal="center" vertical="center"/>
    </xf>
    <xf numFmtId="4" fontId="35" fillId="43" borderId="16" xfId="0" applyNumberFormat="1" applyFont="1" applyFill="1" applyBorder="1" applyAlignment="1">
      <alignment horizontal="center" vertical="center"/>
    </xf>
    <xf numFmtId="4" fontId="34" fillId="0" borderId="16" xfId="0" applyNumberFormat="1" applyFont="1" applyBorder="1" applyAlignment="1">
      <alignment horizontal="right" vertical="center"/>
    </xf>
    <xf numFmtId="4" fontId="34" fillId="0" borderId="77" xfId="0" applyNumberFormat="1" applyFont="1" applyBorder="1" applyAlignment="1">
      <alignment horizontal="right" vertical="center"/>
    </xf>
    <xf numFmtId="4" fontId="34" fillId="0" borderId="13" xfId="0" applyNumberFormat="1" applyFont="1" applyBorder="1" applyAlignment="1">
      <alignment horizontal="right" vertical="center"/>
    </xf>
    <xf numFmtId="4" fontId="35" fillId="43" borderId="38" xfId="0" applyNumberFormat="1" applyFont="1" applyFill="1" applyBorder="1" applyAlignment="1">
      <alignment horizontal="left" vertical="center" wrapText="1"/>
    </xf>
    <xf numFmtId="4" fontId="35" fillId="0" borderId="56" xfId="0" applyNumberFormat="1" applyFont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horizontal="left" vertical="center"/>
      <protection locked="0"/>
    </xf>
    <xf numFmtId="0" fontId="39" fillId="0" borderId="0" xfId="0" applyFont="1"/>
    <xf numFmtId="4" fontId="35" fillId="0" borderId="54" xfId="0" applyNumberFormat="1" applyFont="1" applyBorder="1" applyAlignment="1" applyProtection="1">
      <alignment vertical="center"/>
      <protection locked="0"/>
    </xf>
    <xf numFmtId="4" fontId="35" fillId="0" borderId="20" xfId="0" applyNumberFormat="1" applyFont="1" applyBorder="1" applyAlignment="1" applyProtection="1">
      <alignment vertical="center"/>
      <protection locked="0"/>
    </xf>
    <xf numFmtId="4" fontId="34" fillId="0" borderId="71" xfId="0" applyNumberFormat="1" applyFont="1" applyBorder="1" applyAlignment="1" applyProtection="1">
      <alignment horizontal="left" vertical="center" wrapText="1"/>
      <protection locked="0"/>
    </xf>
    <xf numFmtId="4" fontId="34" fillId="0" borderId="24" xfId="0" applyNumberFormat="1" applyFont="1" applyBorder="1" applyAlignment="1" applyProtection="1">
      <alignment horizontal="left" vertical="center" wrapText="1"/>
      <protection locked="0"/>
    </xf>
    <xf numFmtId="4" fontId="34" fillId="0" borderId="71" xfId="0" applyNumberFormat="1" applyFont="1" applyBorder="1" applyAlignment="1">
      <alignment horizontal="left" vertical="center" wrapText="1"/>
    </xf>
    <xf numFmtId="4" fontId="34" fillId="0" borderId="24" xfId="0" applyNumberFormat="1" applyFont="1" applyBorder="1" applyAlignment="1">
      <alignment horizontal="left" vertical="center" wrapText="1"/>
    </xf>
    <xf numFmtId="4" fontId="34" fillId="0" borderId="54" xfId="0" applyNumberFormat="1" applyFont="1" applyBorder="1" applyAlignment="1" applyProtection="1">
      <alignment horizontal="left" vertical="center" wrapText="1"/>
      <protection locked="0"/>
    </xf>
    <xf numFmtId="4" fontId="34" fillId="0" borderId="20" xfId="0" applyNumberFormat="1" applyFont="1" applyBorder="1" applyAlignment="1" applyProtection="1">
      <alignment horizontal="left" vertical="center" wrapText="1"/>
      <protection locked="0"/>
    </xf>
    <xf numFmtId="4" fontId="34" fillId="0" borderId="71" xfId="0" applyNumberFormat="1" applyFont="1" applyBorder="1" applyAlignment="1" applyProtection="1">
      <alignment horizontal="left" vertical="center"/>
      <protection locked="0"/>
    </xf>
    <xf numFmtId="4" fontId="34" fillId="0" borderId="24" xfId="0" applyNumberFormat="1" applyFont="1" applyBorder="1" applyAlignment="1" applyProtection="1">
      <alignment horizontal="left" vertical="center"/>
      <protection locked="0"/>
    </xf>
    <xf numFmtId="4" fontId="35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16" xfId="0" applyFont="1" applyBorder="1" applyAlignment="1">
      <alignment horizontal="left" vertical="center"/>
    </xf>
    <xf numFmtId="4" fontId="35" fillId="0" borderId="57" xfId="0" applyNumberFormat="1" applyFont="1" applyBorder="1" applyAlignment="1" applyProtection="1">
      <alignment vertical="center" wrapText="1"/>
      <protection locked="0"/>
    </xf>
    <xf numFmtId="0" fontId="34" fillId="0" borderId="16" xfId="0" applyFont="1" applyBorder="1" applyAlignment="1">
      <alignment vertical="center"/>
    </xf>
    <xf numFmtId="4" fontId="36" fillId="0" borderId="0" xfId="0" applyNumberFormat="1" applyFont="1" applyAlignment="1">
      <alignment vertical="center"/>
    </xf>
    <xf numFmtId="0" fontId="34" fillId="0" borderId="16" xfId="0" applyFont="1" applyBorder="1" applyAlignment="1">
      <alignment vertical="center" wrapText="1"/>
    </xf>
    <xf numFmtId="0" fontId="34" fillId="0" borderId="69" xfId="0" applyFont="1" applyBorder="1" applyAlignment="1">
      <alignment vertical="center"/>
    </xf>
    <xf numFmtId="4" fontId="35" fillId="0" borderId="54" xfId="0" applyNumberFormat="1" applyFont="1" applyBorder="1" applyAlignment="1" applyProtection="1">
      <alignment horizontal="justify" vertical="center"/>
      <protection locked="0"/>
    </xf>
    <xf numFmtId="4" fontId="35" fillId="0" borderId="20" xfId="0" applyNumberFormat="1" applyFont="1" applyBorder="1" applyAlignment="1" applyProtection="1">
      <alignment horizontal="justify" vertical="center"/>
      <protection locked="0"/>
    </xf>
    <xf numFmtId="4" fontId="35" fillId="0" borderId="65" xfId="0" applyNumberFormat="1" applyFont="1" applyBorder="1" applyAlignment="1" applyProtection="1">
      <alignment horizontal="justify" vertical="center"/>
      <protection locked="0"/>
    </xf>
    <xf numFmtId="4" fontId="35" fillId="0" borderId="46" xfId="0" applyNumberFormat="1" applyFont="1" applyBorder="1" applyAlignment="1" applyProtection="1">
      <alignment horizontal="justify" vertical="center"/>
      <protection locked="0"/>
    </xf>
    <xf numFmtId="0" fontId="39" fillId="0" borderId="0" xfId="0" applyFont="1" applyAlignment="1">
      <alignment vertical="center" wrapText="1"/>
    </xf>
    <xf numFmtId="0" fontId="34" fillId="0" borderId="79" xfId="0" applyFont="1" applyBorder="1" applyAlignment="1">
      <alignment vertical="center"/>
    </xf>
    <xf numFmtId="4" fontId="35" fillId="41" borderId="16" xfId="0" applyNumberFormat="1" applyFont="1" applyFill="1" applyBorder="1" applyAlignment="1">
      <alignment horizontal="center" vertical="center" wrapText="1"/>
    </xf>
    <xf numFmtId="4" fontId="34" fillId="0" borderId="39" xfId="0" applyNumberFormat="1" applyFont="1" applyBorder="1" applyAlignment="1" applyProtection="1">
      <alignment horizontal="left" vertical="center" wrapText="1"/>
      <protection locked="0"/>
    </xf>
    <xf numFmtId="0" fontId="6" fillId="44" borderId="107" xfId="0" applyFont="1" applyFill="1" applyBorder="1"/>
    <xf numFmtId="0" fontId="6" fillId="44" borderId="120" xfId="0" applyFont="1" applyFill="1" applyBorder="1"/>
    <xf numFmtId="0" fontId="105" fillId="0" borderId="109" xfId="0" applyFont="1" applyBorder="1"/>
    <xf numFmtId="0" fontId="105" fillId="0" borderId="88" xfId="0" applyFont="1" applyBorder="1"/>
    <xf numFmtId="0" fontId="6" fillId="44" borderId="109" xfId="0" applyFont="1" applyFill="1" applyBorder="1"/>
    <xf numFmtId="0" fontId="6" fillId="44" borderId="88" xfId="0" applyFont="1" applyFill="1" applyBorder="1"/>
    <xf numFmtId="14" fontId="35" fillId="0" borderId="0" xfId="0" applyNumberFormat="1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38" fillId="0" borderId="0" xfId="0" applyFont="1" applyAlignment="1">
      <alignment horizontal="left" wrapText="1"/>
    </xf>
    <xf numFmtId="0" fontId="39" fillId="0" borderId="0" xfId="0" applyFont="1" applyAlignment="1">
      <alignment horizontal="left"/>
    </xf>
    <xf numFmtId="0" fontId="6" fillId="0" borderId="109" xfId="0" applyFont="1" applyBorder="1"/>
    <xf numFmtId="0" fontId="6" fillId="0" borderId="88" xfId="0" applyFont="1" applyBorder="1"/>
    <xf numFmtId="0" fontId="103" fillId="0" borderId="0" xfId="0" applyFont="1" applyAlignment="1">
      <alignment horizontal="left"/>
    </xf>
    <xf numFmtId="0" fontId="106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4" fontId="35" fillId="43" borderId="70" xfId="0" applyNumberFormat="1" applyFont="1" applyFill="1" applyBorder="1" applyAlignment="1" applyProtection="1">
      <alignment horizontal="center" vertical="center"/>
      <protection locked="0"/>
    </xf>
    <xf numFmtId="4" fontId="35" fillId="43" borderId="53" xfId="0" applyNumberFormat="1" applyFont="1" applyFill="1" applyBorder="1" applyAlignment="1" applyProtection="1">
      <alignment horizontal="center" vertical="center"/>
      <protection locked="0"/>
    </xf>
    <xf numFmtId="4" fontId="35" fillId="43" borderId="66" xfId="0" applyNumberFormat="1" applyFont="1" applyFill="1" applyBorder="1" applyAlignment="1" applyProtection="1">
      <alignment horizontal="center" vertical="center"/>
      <protection locked="0"/>
    </xf>
    <xf numFmtId="4" fontId="35" fillId="43" borderId="77" xfId="0" applyNumberFormat="1" applyFont="1" applyFill="1" applyBorder="1" applyAlignment="1" applyProtection="1">
      <alignment horizontal="center" vertical="center"/>
      <protection locked="0"/>
    </xf>
    <xf numFmtId="4" fontId="35" fillId="43" borderId="14" xfId="0" applyNumberFormat="1" applyFont="1" applyFill="1" applyBorder="1" applyAlignment="1" applyProtection="1">
      <alignment horizontal="center" vertical="center"/>
      <protection locked="0"/>
    </xf>
    <xf numFmtId="4" fontId="35" fillId="43" borderId="13" xfId="0" applyNumberFormat="1" applyFont="1" applyFill="1" applyBorder="1" applyAlignment="1" applyProtection="1">
      <alignment horizontal="center" vertical="center"/>
      <protection locked="0"/>
    </xf>
    <xf numFmtId="4" fontId="40" fillId="43" borderId="57" xfId="0" applyNumberFormat="1" applyFont="1" applyFill="1" applyBorder="1" applyAlignment="1" applyProtection="1">
      <alignment horizontal="center" vertical="center"/>
      <protection locked="0"/>
    </xf>
    <xf numFmtId="4" fontId="40" fillId="43" borderId="38" xfId="0" applyNumberFormat="1" applyFont="1" applyFill="1" applyBorder="1" applyAlignment="1" applyProtection="1">
      <alignment horizontal="center" vertical="center"/>
      <protection locked="0"/>
    </xf>
    <xf numFmtId="4" fontId="40" fillId="43" borderId="16" xfId="0" applyNumberFormat="1" applyFont="1" applyFill="1" applyBorder="1" applyAlignment="1" applyProtection="1">
      <alignment horizontal="center" vertical="center"/>
      <protection locked="0"/>
    </xf>
    <xf numFmtId="4" fontId="35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5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35" fillId="44" borderId="106" xfId="0" applyFont="1" applyFill="1" applyBorder="1" applyAlignment="1">
      <alignment wrapText="1"/>
    </xf>
    <xf numFmtId="0" fontId="35" fillId="44" borderId="122" xfId="0" applyFont="1" applyFill="1" applyBorder="1" applyAlignment="1">
      <alignment wrapText="1"/>
    </xf>
    <xf numFmtId="0" fontId="47" fillId="44" borderId="54" xfId="0" applyFont="1" applyFill="1" applyBorder="1" applyAlignment="1">
      <alignment horizontal="center" wrapText="1"/>
    </xf>
    <xf numFmtId="0" fontId="47" fillId="44" borderId="39" xfId="0" applyFont="1" applyFill="1" applyBorder="1" applyAlignment="1">
      <alignment horizontal="center" wrapText="1"/>
    </xf>
    <xf numFmtId="0" fontId="47" fillId="44" borderId="20" xfId="0" applyFont="1" applyFill="1" applyBorder="1" applyAlignment="1">
      <alignment horizontal="center" wrapText="1"/>
    </xf>
    <xf numFmtId="0" fontId="34" fillId="0" borderId="117" xfId="0" applyFont="1" applyBorder="1" applyAlignment="1">
      <alignment horizontal="left" wrapText="1" indent="1"/>
    </xf>
    <xf numFmtId="0" fontId="34" fillId="0" borderId="119" xfId="0" applyFont="1" applyBorder="1" applyAlignment="1">
      <alignment horizontal="left" wrapText="1" indent="1"/>
    </xf>
    <xf numFmtId="4" fontId="35" fillId="0" borderId="54" xfId="0" applyNumberFormat="1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vertical="center" wrapText="1"/>
    </xf>
    <xf numFmtId="0" fontId="34" fillId="0" borderId="107" xfId="0" applyFont="1" applyBorder="1" applyAlignment="1">
      <alignment horizontal="left" wrapText="1" indent="1"/>
    </xf>
    <xf numFmtId="0" fontId="34" fillId="0" borderId="125" xfId="0" applyFont="1" applyBorder="1" applyAlignment="1">
      <alignment horizontal="left" wrapText="1" indent="1"/>
    </xf>
    <xf numFmtId="4" fontId="6" fillId="0" borderId="0" xfId="39" applyNumberFormat="1" applyFont="1" applyAlignment="1">
      <alignment horizontal="left" vertical="top" wrapText="1"/>
    </xf>
    <xf numFmtId="0" fontId="55" fillId="0" borderId="0" xfId="0" applyFont="1" applyAlignment="1">
      <alignment wrapText="1"/>
    </xf>
    <xf numFmtId="0" fontId="55" fillId="0" borderId="14" xfId="0" applyFont="1" applyBorder="1" applyAlignment="1">
      <alignment wrapText="1"/>
    </xf>
    <xf numFmtId="0" fontId="6" fillId="44" borderId="5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104" fillId="45" borderId="109" xfId="0" applyFont="1" applyFill="1" applyBorder="1"/>
    <xf numFmtId="0" fontId="104" fillId="45" borderId="110" xfId="0" applyFont="1" applyFill="1" applyBorder="1"/>
    <xf numFmtId="0" fontId="104" fillId="45" borderId="88" xfId="0" applyFont="1" applyFill="1" applyBorder="1"/>
    <xf numFmtId="0" fontId="6" fillId="44" borderId="70" xfId="0" applyFont="1" applyFill="1" applyBorder="1" applyAlignment="1">
      <alignment horizontal="center" vertical="center" wrapText="1"/>
    </xf>
    <xf numFmtId="0" fontId="6" fillId="44" borderId="66" xfId="0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17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56" fillId="43" borderId="57" xfId="0" applyFont="1" applyFill="1" applyBorder="1" applyAlignment="1">
      <alignment horizontal="center" wrapText="1"/>
    </xf>
    <xf numFmtId="0" fontId="56" fillId="43" borderId="38" xfId="0" applyFont="1" applyFill="1" applyBorder="1" applyAlignment="1">
      <alignment horizontal="center" wrapText="1"/>
    </xf>
    <xf numFmtId="0" fontId="56" fillId="43" borderId="16" xfId="0" applyFont="1" applyFill="1" applyBorder="1" applyAlignment="1">
      <alignment horizontal="center" wrapText="1"/>
    </xf>
    <xf numFmtId="0" fontId="62" fillId="43" borderId="70" xfId="0" applyFont="1" applyFill="1" applyBorder="1" applyAlignment="1">
      <alignment horizontal="center" wrapText="1"/>
    </xf>
    <xf numFmtId="0" fontId="62" fillId="43" borderId="117" xfId="0" applyFont="1" applyFill="1" applyBorder="1" applyAlignment="1">
      <alignment horizontal="center" wrapText="1"/>
    </xf>
    <xf numFmtId="0" fontId="62" fillId="43" borderId="58" xfId="0" applyFont="1" applyFill="1" applyBorder="1" applyAlignment="1">
      <alignment horizontal="center" wrapText="1"/>
    </xf>
    <xf numFmtId="0" fontId="62" fillId="43" borderId="11" xfId="0" applyFont="1" applyFill="1" applyBorder="1" applyAlignment="1">
      <alignment horizontal="center" wrapText="1"/>
    </xf>
    <xf numFmtId="0" fontId="57" fillId="43" borderId="58" xfId="40" applyFont="1" applyFill="1" applyBorder="1" applyAlignment="1">
      <alignment wrapText="1"/>
    </xf>
    <xf numFmtId="0" fontId="57" fillId="43" borderId="11" xfId="40" applyFont="1" applyFill="1" applyBorder="1" applyAlignment="1">
      <alignment wrapText="1"/>
    </xf>
    <xf numFmtId="0" fontId="62" fillId="43" borderId="118" xfId="0" applyFont="1" applyFill="1" applyBorder="1" applyAlignment="1">
      <alignment horizontal="center" wrapText="1"/>
    </xf>
    <xf numFmtId="0" fontId="62" fillId="43" borderId="119" xfId="0" applyFont="1" applyFill="1" applyBorder="1" applyAlignment="1">
      <alignment horizontal="center" wrapText="1"/>
    </xf>
    <xf numFmtId="0" fontId="56" fillId="43" borderId="114" xfId="0" applyFont="1" applyFill="1" applyBorder="1" applyAlignment="1">
      <alignment horizontal="center" wrapText="1"/>
    </xf>
    <xf numFmtId="0" fontId="56" fillId="43" borderId="104" xfId="0" applyFont="1" applyFill="1" applyBorder="1" applyAlignment="1">
      <alignment horizontal="center" wrapText="1"/>
    </xf>
    <xf numFmtId="0" fontId="103" fillId="0" borderId="0" xfId="0" applyFont="1" applyAlignment="1">
      <alignment horizontal="left" wrapText="1"/>
    </xf>
    <xf numFmtId="0" fontId="56" fillId="43" borderId="115" xfId="0" applyFont="1" applyFill="1" applyBorder="1" applyAlignment="1">
      <alignment horizontal="center" wrapText="1"/>
    </xf>
    <xf numFmtId="0" fontId="56" fillId="43" borderId="105" xfId="0" applyFont="1" applyFill="1" applyBorder="1" applyAlignment="1">
      <alignment horizontal="center" wrapText="1"/>
    </xf>
    <xf numFmtId="0" fontId="58" fillId="0" borderId="109" xfId="0" applyFont="1" applyBorder="1"/>
    <xf numFmtId="0" fontId="58" fillId="0" borderId="116" xfId="0" applyFont="1" applyBorder="1"/>
    <xf numFmtId="0" fontId="58" fillId="0" borderId="110" xfId="0" applyFont="1" applyBorder="1"/>
    <xf numFmtId="0" fontId="58" fillId="0" borderId="88" xfId="0" applyFont="1" applyBorder="1"/>
    <xf numFmtId="0" fontId="34" fillId="0" borderId="20" xfId="0" applyFont="1" applyBorder="1" applyAlignment="1">
      <alignment vertical="center"/>
    </xf>
    <xf numFmtId="0" fontId="34" fillId="0" borderId="109" xfId="0" applyFont="1" applyBorder="1" applyAlignment="1">
      <alignment horizontal="left" wrapText="1" indent="1"/>
    </xf>
    <xf numFmtId="0" fontId="34" fillId="0" borderId="121" xfId="0" applyFont="1" applyBorder="1" applyAlignment="1">
      <alignment horizontal="left" wrapText="1" indent="1"/>
    </xf>
    <xf numFmtId="0" fontId="35" fillId="44" borderId="52" xfId="0" applyFont="1" applyFill="1" applyBorder="1" applyAlignment="1">
      <alignment horizontal="center" wrapText="1"/>
    </xf>
    <xf numFmtId="0" fontId="34" fillId="0" borderId="49" xfId="0" applyFont="1" applyBorder="1" applyAlignment="1">
      <alignment horizontal="center" wrapText="1"/>
    </xf>
    <xf numFmtId="0" fontId="35" fillId="0" borderId="57" xfId="40" applyFont="1" applyBorder="1" applyAlignment="1">
      <alignment vertical="center" wrapText="1"/>
    </xf>
    <xf numFmtId="0" fontId="35" fillId="0" borderId="38" xfId="40" applyFont="1" applyBorder="1" applyAlignment="1">
      <alignment vertical="center" wrapText="1"/>
    </xf>
    <xf numFmtId="0" fontId="35" fillId="0" borderId="16" xfId="40" applyFont="1" applyBorder="1" applyAlignment="1">
      <alignment vertical="center" wrapText="1"/>
    </xf>
    <xf numFmtId="0" fontId="34" fillId="0" borderId="123" xfId="0" applyFont="1" applyBorder="1" applyAlignment="1">
      <alignment wrapText="1"/>
    </xf>
    <xf numFmtId="0" fontId="34" fillId="0" borderId="124" xfId="0" applyFont="1" applyBorder="1" applyAlignment="1">
      <alignment wrapText="1"/>
    </xf>
    <xf numFmtId="0" fontId="34" fillId="0" borderId="109" xfId="0" applyFont="1" applyBorder="1" applyAlignment="1">
      <alignment wrapText="1"/>
    </xf>
    <xf numFmtId="0" fontId="34" fillId="0" borderId="121" xfId="0" applyFont="1" applyBorder="1" applyAlignment="1">
      <alignment wrapText="1"/>
    </xf>
    <xf numFmtId="4" fontId="35" fillId="0" borderId="54" xfId="0" applyNumberFormat="1" applyFont="1" applyBorder="1" applyAlignment="1" applyProtection="1">
      <alignment vertical="center" wrapText="1"/>
      <protection locked="0"/>
    </xf>
    <xf numFmtId="4" fontId="43" fillId="0" borderId="56" xfId="0" applyNumberFormat="1" applyFont="1" applyBorder="1" applyAlignment="1" applyProtection="1">
      <alignment horizontal="left" vertical="center" indent="1"/>
      <protection locked="0"/>
    </xf>
    <xf numFmtId="4" fontId="43" fillId="0" borderId="41" xfId="0" applyNumberFormat="1" applyFont="1" applyBorder="1" applyAlignment="1" applyProtection="1">
      <alignment horizontal="left" vertical="center" indent="1"/>
      <protection locked="0"/>
    </xf>
    <xf numFmtId="4" fontId="43" fillId="0" borderId="22" xfId="0" applyNumberFormat="1" applyFont="1" applyBorder="1" applyAlignment="1" applyProtection="1">
      <alignment horizontal="left" vertical="center" indent="1"/>
      <protection locked="0"/>
    </xf>
    <xf numFmtId="4" fontId="35" fillId="0" borderId="57" xfId="0" applyNumberFormat="1" applyFont="1" applyBorder="1" applyAlignment="1" applyProtection="1">
      <alignment horizontal="left" vertical="center" wrapText="1"/>
      <protection locked="0"/>
    </xf>
    <xf numFmtId="4" fontId="35" fillId="0" borderId="38" xfId="0" applyNumberFormat="1" applyFont="1" applyBorder="1" applyAlignment="1" applyProtection="1">
      <alignment horizontal="left" vertical="center" wrapText="1"/>
      <protection locked="0"/>
    </xf>
    <xf numFmtId="4" fontId="35" fillId="0" borderId="16" xfId="0" applyNumberFormat="1" applyFont="1" applyBorder="1" applyAlignment="1" applyProtection="1">
      <alignment horizontal="left" vertical="center" wrapText="1"/>
      <protection locked="0"/>
    </xf>
    <xf numFmtId="4" fontId="35" fillId="0" borderId="38" xfId="0" applyNumberFormat="1" applyFont="1" applyBorder="1" applyAlignment="1" applyProtection="1">
      <alignment vertical="center" wrapText="1"/>
      <protection locked="0"/>
    </xf>
    <xf numFmtId="4" fontId="35" fillId="0" borderId="16" xfId="0" applyNumberFormat="1" applyFont="1" applyBorder="1" applyAlignment="1" applyProtection="1">
      <alignment vertical="center" wrapText="1"/>
      <protection locked="0"/>
    </xf>
    <xf numFmtId="4" fontId="35" fillId="41" borderId="57" xfId="0" applyNumberFormat="1" applyFont="1" applyFill="1" applyBorder="1" applyAlignment="1">
      <alignment horizontal="left" vertical="center"/>
    </xf>
    <xf numFmtId="4" fontId="35" fillId="41" borderId="16" xfId="0" applyNumberFormat="1" applyFont="1" applyFill="1" applyBorder="1" applyAlignment="1">
      <alignment horizontal="left" vertical="center"/>
    </xf>
    <xf numFmtId="4" fontId="44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4" fontId="35" fillId="0" borderId="77" xfId="0" applyNumberFormat="1" applyFont="1" applyBorder="1" applyAlignment="1" applyProtection="1">
      <alignment vertical="center"/>
      <protection locked="0"/>
    </xf>
    <xf numFmtId="4" fontId="35" fillId="0" borderId="14" xfId="0" applyNumberFormat="1" applyFont="1" applyBorder="1" applyAlignment="1" applyProtection="1">
      <alignment vertical="center"/>
      <protection locked="0"/>
    </xf>
    <xf numFmtId="4" fontId="35" fillId="0" borderId="13" xfId="0" applyNumberFormat="1" applyFont="1" applyBorder="1" applyAlignment="1" applyProtection="1">
      <alignment vertical="center"/>
      <protection locked="0"/>
    </xf>
    <xf numFmtId="4" fontId="35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56" xfId="0" applyNumberFormat="1" applyFont="1" applyBorder="1" applyAlignment="1" applyProtection="1">
      <alignment horizontal="left" vertical="center" wrapText="1" indent="1"/>
      <protection locked="0"/>
    </xf>
    <xf numFmtId="4" fontId="43" fillId="0" borderId="41" xfId="0" applyNumberFormat="1" applyFont="1" applyBorder="1" applyAlignment="1" applyProtection="1">
      <alignment horizontal="left" vertical="center" wrapText="1" indent="1"/>
      <protection locked="0"/>
    </xf>
    <xf numFmtId="4" fontId="43" fillId="0" borderId="22" xfId="0" applyNumberFormat="1" applyFont="1" applyBorder="1" applyAlignment="1" applyProtection="1">
      <alignment horizontal="left" vertical="center" wrapText="1" indent="1"/>
      <protection locked="0"/>
    </xf>
    <xf numFmtId="4" fontId="34" fillId="0" borderId="55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34" fillId="0" borderId="28" xfId="0" applyNumberFormat="1" applyFont="1" applyBorder="1" applyAlignment="1" applyProtection="1">
      <alignment vertical="center"/>
      <protection locked="0"/>
    </xf>
    <xf numFmtId="4" fontId="35" fillId="0" borderId="57" xfId="0" applyNumberFormat="1" applyFont="1" applyBorder="1" applyAlignment="1" applyProtection="1">
      <alignment vertical="center"/>
      <protection locked="0"/>
    </xf>
    <xf numFmtId="4" fontId="35" fillId="0" borderId="38" xfId="0" applyNumberFormat="1" applyFont="1" applyBorder="1" applyAlignment="1" applyProtection="1">
      <alignment vertical="center"/>
      <protection locked="0"/>
    </xf>
    <xf numFmtId="4" fontId="35" fillId="0" borderId="16" xfId="0" applyNumberFormat="1" applyFont="1" applyBorder="1" applyAlignment="1" applyProtection="1">
      <alignment vertical="center"/>
      <protection locked="0"/>
    </xf>
    <xf numFmtId="4" fontId="34" fillId="0" borderId="54" xfId="0" applyNumberFormat="1" applyFont="1" applyBorder="1" applyAlignment="1" applyProtection="1">
      <alignment horizontal="left" vertical="center"/>
      <protection locked="0"/>
    </xf>
    <xf numFmtId="4" fontId="34" fillId="0" borderId="20" xfId="0" applyNumberFormat="1" applyFont="1" applyBorder="1" applyAlignment="1" applyProtection="1">
      <alignment horizontal="left" vertical="center"/>
      <protection locked="0"/>
    </xf>
    <xf numFmtId="4" fontId="34" fillId="0" borderId="71" xfId="0" applyNumberFormat="1" applyFont="1" applyBorder="1" applyAlignment="1" applyProtection="1">
      <alignment vertical="center"/>
      <protection locked="0"/>
    </xf>
    <xf numFmtId="4" fontId="34" fillId="0" borderId="67" xfId="0" applyNumberFormat="1" applyFont="1" applyBorder="1" applyAlignment="1" applyProtection="1">
      <alignment vertical="center"/>
      <protection locked="0"/>
    </xf>
    <xf numFmtId="4" fontId="34" fillId="0" borderId="24" xfId="0" applyNumberFormat="1" applyFont="1" applyBorder="1" applyAlignment="1" applyProtection="1">
      <alignment vertical="center"/>
      <protection locked="0"/>
    </xf>
    <xf numFmtId="4" fontId="35" fillId="0" borderId="39" xfId="0" applyNumberFormat="1" applyFont="1" applyBorder="1" applyAlignment="1" applyProtection="1">
      <alignment vertical="center" wrapText="1"/>
      <protection locked="0"/>
    </xf>
    <xf numFmtId="4" fontId="35" fillId="0" borderId="20" xfId="0" applyNumberFormat="1" applyFont="1" applyBorder="1" applyAlignment="1" applyProtection="1">
      <alignment vertical="center" wrapText="1"/>
      <protection locked="0"/>
    </xf>
    <xf numFmtId="4" fontId="35" fillId="0" borderId="41" xfId="0" applyNumberFormat="1" applyFont="1" applyBorder="1" applyAlignment="1" applyProtection="1">
      <alignment vertical="center" wrapText="1"/>
      <protection locked="0"/>
    </xf>
    <xf numFmtId="4" fontId="35" fillId="0" borderId="22" xfId="0" applyNumberFormat="1" applyFont="1" applyBorder="1" applyAlignment="1" applyProtection="1">
      <alignment vertical="center" wrapText="1"/>
      <protection locked="0"/>
    </xf>
    <xf numFmtId="4" fontId="35" fillId="0" borderId="77" xfId="0" applyNumberFormat="1" applyFont="1" applyBorder="1" applyAlignment="1" applyProtection="1">
      <alignment vertical="center" wrapText="1"/>
      <protection locked="0"/>
    </xf>
    <xf numFmtId="4" fontId="35" fillId="0" borderId="14" xfId="0" applyNumberFormat="1" applyFont="1" applyBorder="1" applyAlignment="1" applyProtection="1">
      <alignment vertical="center" wrapText="1"/>
      <protection locked="0"/>
    </xf>
    <xf numFmtId="4" fontId="35" fillId="0" borderId="13" xfId="0" applyNumberFormat="1" applyFont="1" applyBorder="1" applyAlignment="1" applyProtection="1">
      <alignment vertical="center" wrapText="1"/>
      <protection locked="0"/>
    </xf>
    <xf numFmtId="4" fontId="34" fillId="0" borderId="41" xfId="0" applyNumberFormat="1" applyFont="1" applyBorder="1" applyAlignment="1">
      <alignment vertical="center" wrapText="1"/>
    </xf>
    <xf numFmtId="4" fontId="35" fillId="0" borderId="41" xfId="0" applyNumberFormat="1" applyFont="1" applyBorder="1" applyAlignment="1" applyProtection="1">
      <alignment vertical="center"/>
      <protection locked="0"/>
    </xf>
    <xf numFmtId="14" fontId="34" fillId="0" borderId="0" xfId="0" applyNumberFormat="1" applyFont="1" applyAlignment="1">
      <alignment horizontal="center" wrapText="1"/>
    </xf>
    <xf numFmtId="0" fontId="34" fillId="0" borderId="0" xfId="0" applyFont="1" applyAlignment="1">
      <alignment horizontal="center" wrapText="1"/>
    </xf>
    <xf numFmtId="4" fontId="35" fillId="0" borderId="80" xfId="0" applyNumberFormat="1" applyFont="1" applyBorder="1" applyAlignment="1">
      <alignment vertical="center" wrapText="1"/>
    </xf>
    <xf numFmtId="4" fontId="35" fillId="0" borderId="20" xfId="0" applyNumberFormat="1" applyFont="1" applyBorder="1" applyAlignment="1">
      <alignment vertical="center" wrapText="1"/>
    </xf>
    <xf numFmtId="4" fontId="34" fillId="0" borderId="51" xfId="0" applyNumberFormat="1" applyFont="1" applyBorder="1" applyAlignment="1">
      <alignment vertical="center" wrapText="1"/>
    </xf>
    <xf numFmtId="4" fontId="34" fillId="0" borderId="40" xfId="0" applyNumberFormat="1" applyFont="1" applyBorder="1" applyAlignment="1">
      <alignment vertical="center" wrapText="1"/>
    </xf>
    <xf numFmtId="4" fontId="34" fillId="0" borderId="40" xfId="0" applyNumberFormat="1" applyFont="1" applyBorder="1" applyAlignment="1">
      <alignment horizontal="left" vertical="center" wrapText="1"/>
    </xf>
    <xf numFmtId="4" fontId="34" fillId="0" borderId="22" xfId="0" applyNumberFormat="1" applyFont="1" applyBorder="1" applyAlignment="1">
      <alignment horizontal="left" vertical="center" wrapText="1"/>
    </xf>
    <xf numFmtId="4" fontId="34" fillId="0" borderId="81" xfId="0" applyNumberFormat="1" applyFont="1" applyBorder="1" applyAlignment="1">
      <alignment horizontal="left" vertical="center" wrapText="1"/>
    </xf>
    <xf numFmtId="4" fontId="35" fillId="41" borderId="48" xfId="0" applyNumberFormat="1" applyFont="1" applyFill="1" applyBorder="1" applyAlignment="1">
      <alignment vertical="center"/>
    </xf>
    <xf numFmtId="4" fontId="35" fillId="41" borderId="16" xfId="0" applyNumberFormat="1" applyFont="1" applyFill="1" applyBorder="1" applyAlignment="1">
      <alignment vertical="center"/>
    </xf>
    <xf numFmtId="4" fontId="35" fillId="0" borderId="0" xfId="0" applyNumberFormat="1" applyFont="1" applyAlignment="1">
      <alignment horizontal="left" vertical="center"/>
    </xf>
    <xf numFmtId="4" fontId="34" fillId="0" borderId="57" xfId="0" applyNumberFormat="1" applyFont="1" applyBorder="1" applyAlignment="1">
      <alignment vertical="center" wrapText="1"/>
    </xf>
    <xf numFmtId="4" fontId="34" fillId="0" borderId="16" xfId="0" applyNumberFormat="1" applyFont="1" applyBorder="1" applyAlignment="1">
      <alignment vertical="center" wrapText="1"/>
    </xf>
    <xf numFmtId="0" fontId="48" fillId="0" borderId="0" xfId="0" applyFont="1" applyAlignment="1">
      <alignment horizontal="center" wrapText="1"/>
    </xf>
    <xf numFmtId="4" fontId="35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4" fillId="0" borderId="63" xfId="0" applyFont="1" applyBorder="1" applyAlignment="1">
      <alignment horizontal="center" vertical="center" wrapText="1"/>
    </xf>
    <xf numFmtId="4" fontId="40" fillId="0" borderId="0" xfId="0" applyNumberFormat="1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4" fontId="35" fillId="43" borderId="82" xfId="0" applyNumberFormat="1" applyFont="1" applyFill="1" applyBorder="1" applyAlignment="1">
      <alignment horizontal="center" vertical="center" wrapText="1"/>
    </xf>
    <xf numFmtId="4" fontId="34" fillId="43" borderId="83" xfId="0" applyNumberFormat="1" applyFont="1" applyFill="1" applyBorder="1" applyAlignment="1">
      <alignment horizontal="center" vertical="center"/>
    </xf>
    <xf numFmtId="4" fontId="34" fillId="43" borderId="59" xfId="0" applyNumberFormat="1" applyFont="1" applyFill="1" applyBorder="1" applyAlignment="1">
      <alignment horizontal="center" vertical="center"/>
    </xf>
    <xf numFmtId="4" fontId="35" fillId="41" borderId="70" xfId="0" applyNumberFormat="1" applyFont="1" applyFill="1" applyBorder="1" applyAlignment="1">
      <alignment horizontal="center" vertical="center"/>
    </xf>
    <xf numFmtId="4" fontId="35" fillId="41" borderId="53" xfId="0" applyNumberFormat="1" applyFont="1" applyFill="1" applyBorder="1" applyAlignment="1">
      <alignment horizontal="center" vertical="center"/>
    </xf>
    <xf numFmtId="4" fontId="35" fillId="41" borderId="14" xfId="0" applyNumberFormat="1" applyFont="1" applyFill="1" applyBorder="1" applyAlignment="1">
      <alignment horizontal="center" vertical="center"/>
    </xf>
    <xf numFmtId="4" fontId="43" fillId="0" borderId="71" xfId="0" applyNumberFormat="1" applyFont="1" applyBorder="1" applyAlignment="1" applyProtection="1">
      <alignment horizontal="left" vertical="center" wrapText="1" indent="1"/>
      <protection locked="0"/>
    </xf>
    <xf numFmtId="4" fontId="43" fillId="0" borderId="67" xfId="0" applyNumberFormat="1" applyFont="1" applyBorder="1" applyAlignment="1" applyProtection="1">
      <alignment horizontal="left" vertical="center" wrapText="1" indent="1"/>
      <protection locked="0"/>
    </xf>
    <xf numFmtId="4" fontId="43" fillId="0" borderId="24" xfId="0" applyNumberFormat="1" applyFont="1" applyBorder="1" applyAlignment="1" applyProtection="1">
      <alignment horizontal="left" vertical="center" wrapText="1" indent="1"/>
      <protection locked="0"/>
    </xf>
    <xf numFmtId="0" fontId="34" fillId="0" borderId="0" xfId="42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4" fillId="43" borderId="77" xfId="0" applyFont="1" applyFill="1" applyBorder="1" applyAlignment="1">
      <alignment horizontal="center" vertical="center"/>
    </xf>
    <xf numFmtId="0" fontId="34" fillId="43" borderId="13" xfId="0" applyFont="1" applyFill="1" applyBorder="1" applyAlignment="1">
      <alignment horizontal="center" vertical="center"/>
    </xf>
    <xf numFmtId="0" fontId="35" fillId="43" borderId="57" xfId="0" applyFont="1" applyFill="1" applyBorder="1" applyAlignment="1">
      <alignment horizontal="center" vertical="center"/>
    </xf>
    <xf numFmtId="0" fontId="35" fillId="43" borderId="38" xfId="0" applyFont="1" applyFill="1" applyBorder="1" applyAlignment="1">
      <alignment horizontal="center" vertical="center"/>
    </xf>
    <xf numFmtId="0" fontId="35" fillId="43" borderId="16" xfId="0" applyFont="1" applyFill="1" applyBorder="1" applyAlignment="1">
      <alignment horizontal="center" vertical="center"/>
    </xf>
    <xf numFmtId="4" fontId="104" fillId="0" borderId="111" xfId="0" applyNumberFormat="1" applyFont="1" applyBorder="1" applyAlignment="1">
      <alignment vertical="center"/>
    </xf>
    <xf numFmtId="4" fontId="104" fillId="0" borderId="110" xfId="0" applyNumberFormat="1" applyFont="1" applyBorder="1" applyAlignment="1">
      <alignment vertical="center"/>
    </xf>
    <xf numFmtId="0" fontId="4" fillId="0" borderId="88" xfId="0" applyFont="1" applyBorder="1"/>
    <xf numFmtId="4" fontId="35" fillId="43" borderId="57" xfId="0" applyNumberFormat="1" applyFont="1" applyFill="1" applyBorder="1" applyAlignment="1" applyProtection="1">
      <alignment vertical="center"/>
      <protection locked="0"/>
    </xf>
    <xf numFmtId="4" fontId="35" fillId="43" borderId="38" xfId="0" applyNumberFormat="1" applyFont="1" applyFill="1" applyBorder="1" applyAlignment="1" applyProtection="1">
      <alignment vertical="center"/>
      <protection locked="0"/>
    </xf>
    <xf numFmtId="4" fontId="35" fillId="43" borderId="16" xfId="0" applyNumberFormat="1" applyFont="1" applyFill="1" applyBorder="1" applyAlignment="1" applyProtection="1">
      <alignment vertical="center"/>
      <protection locked="0"/>
    </xf>
    <xf numFmtId="4" fontId="43" fillId="0" borderId="55" xfId="0" applyNumberFormat="1" applyFont="1" applyBorder="1" applyAlignment="1" applyProtection="1">
      <alignment horizontal="left" vertical="center" wrapText="1" indent="1"/>
      <protection locked="0"/>
    </xf>
    <xf numFmtId="4" fontId="43" fillId="0" borderId="50" xfId="0" applyNumberFormat="1" applyFont="1" applyBorder="1" applyAlignment="1" applyProtection="1">
      <alignment horizontal="left" vertical="center" wrapText="1" indent="1"/>
      <protection locked="0"/>
    </xf>
    <xf numFmtId="4" fontId="43" fillId="0" borderId="28" xfId="0" applyNumberFormat="1" applyFont="1" applyBorder="1" applyAlignment="1" applyProtection="1">
      <alignment horizontal="left" vertical="center" wrapText="1" indent="1"/>
      <protection locked="0"/>
    </xf>
  </cellXfs>
  <cellStyles count="159">
    <cellStyle name="20% — akcent 1" xfId="107" builtinId="30" customBuiltin="1"/>
    <cellStyle name="20% — akcent 1 2" xfId="134"/>
    <cellStyle name="20% — akcent 2" xfId="111" builtinId="34" customBuiltin="1"/>
    <cellStyle name="20% — akcent 2 2" xfId="136"/>
    <cellStyle name="20% — akcent 3" xfId="115" builtinId="38" customBuiltin="1"/>
    <cellStyle name="20% — akcent 3 2" xfId="138"/>
    <cellStyle name="20% — akcent 4" xfId="119" builtinId="42" customBuiltin="1"/>
    <cellStyle name="20% — akcent 4 2" xfId="140"/>
    <cellStyle name="20% — akcent 5" xfId="123" builtinId="46" customBuiltin="1"/>
    <cellStyle name="20% — akcent 5 2" xfId="142"/>
    <cellStyle name="20% — akcent 6" xfId="127" builtinId="50" customBuiltin="1"/>
    <cellStyle name="20% — akcent 6 2" xfId="144"/>
    <cellStyle name="40% — akcent 1" xfId="108" builtinId="31" customBuiltin="1"/>
    <cellStyle name="40% — akcent 1 2" xfId="135"/>
    <cellStyle name="40% — akcent 2" xfId="112" builtinId="35" customBuiltin="1"/>
    <cellStyle name="40% — akcent 2 2" xfId="137"/>
    <cellStyle name="40% — akcent 3" xfId="116" builtinId="39" customBuiltin="1"/>
    <cellStyle name="40% — akcent 3 2" xfId="139"/>
    <cellStyle name="40% — akcent 4" xfId="120" builtinId="43" customBuiltin="1"/>
    <cellStyle name="40% — akcent 4 2" xfId="141"/>
    <cellStyle name="40% — akcent 5" xfId="124" builtinId="47" customBuiltin="1"/>
    <cellStyle name="40% — akcent 5 2" xfId="143"/>
    <cellStyle name="40% — akcent 6" xfId="128" builtinId="51" customBuiltin="1"/>
    <cellStyle name="40% — akcent 6 2" xfId="145"/>
    <cellStyle name="60% — akcent 1" xfId="109" builtinId="32" customBuiltin="1"/>
    <cellStyle name="60% — akcent 2" xfId="113" builtinId="36" customBuiltin="1"/>
    <cellStyle name="60% — akcent 3" xfId="117" builtinId="40" customBuiltin="1"/>
    <cellStyle name="60% — akcent 4" xfId="121" builtinId="44" customBuiltin="1"/>
    <cellStyle name="60% — akcent 5" xfId="125" builtinId="48" customBuiltin="1"/>
    <cellStyle name="60% — akcent 6" xfId="129" builtinId="52" customBuiltin="1"/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Akcent 1" xfId="106" builtinId="29" customBuiltin="1"/>
    <cellStyle name="Akcent 2" xfId="110" builtinId="33" customBuiltin="1"/>
    <cellStyle name="Akcent 3" xfId="114" builtinId="37" customBuiltin="1"/>
    <cellStyle name="Akcent 4" xfId="118" builtinId="41" customBuiltin="1"/>
    <cellStyle name="Akcent 5" xfId="122" builtinId="45" customBuiltin="1"/>
    <cellStyle name="Akcent 6" xfId="126" builtinId="49" customBuiltin="1"/>
    <cellStyle name="Bad" xfId="25"/>
    <cellStyle name="Calculation" xfId="26"/>
    <cellStyle name="Check Cell" xfId="27"/>
    <cellStyle name="Dane wejściowe" xfId="98" builtinId="20" customBuiltin="1"/>
    <cellStyle name="Dane wyjściowe" xfId="99" builtinId="21" customBuiltin="1"/>
    <cellStyle name="Dobry" xfId="95" builtinId="26" customBuiltin="1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Komórka połączona" xfId="101" builtinId="24" customBuiltin="1"/>
    <cellStyle name="Komórka zaznaczona" xfId="102" builtinId="23" customBuiltin="1"/>
    <cellStyle name="Linked Cell" xfId="37"/>
    <cellStyle name="Nagłówek 1" xfId="91" builtinId="16" customBuiltin="1"/>
    <cellStyle name="Nagłówek 2" xfId="92" builtinId="17" customBuiltin="1"/>
    <cellStyle name="Nagłówek 3" xfId="93" builtinId="18" customBuiltin="1"/>
    <cellStyle name="Nagłówek 4" xfId="94" builtinId="19" customBuiltin="1"/>
    <cellStyle name="Neutral" xfId="38"/>
    <cellStyle name="Neutralny" xfId="97" builtinId="28" customBuiltin="1"/>
    <cellStyle name="Normal 3" xfId="39"/>
    <cellStyle name="Normalny" xfId="0" builtinId="0"/>
    <cellStyle name="Normalny 2" xfId="40"/>
    <cellStyle name="Normalny 3" xfId="41"/>
    <cellStyle name="Normalny 3 2" xfId="146"/>
    <cellStyle name="Normalny 4" xfId="88"/>
    <cellStyle name="Normalny 5" xfId="89"/>
    <cellStyle name="Normalny 6" xfId="130"/>
    <cellStyle name="Normalny 7" xfId="132"/>
    <cellStyle name="Normalny 8" xfId="158"/>
    <cellStyle name="Normalny_dzielnice termin spr." xfId="42"/>
    <cellStyle name="Note" xfId="43"/>
    <cellStyle name="Note 2" xfId="147"/>
    <cellStyle name="Obliczenia" xfId="100" builtinId="22" customBuiltin="1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 2" xfId="148"/>
    <cellStyle name="SAPBEXHLevel0X" xfId="66"/>
    <cellStyle name="SAPBEXHLevel0X 2" xfId="149"/>
    <cellStyle name="SAPBEXHLevel1" xfId="67"/>
    <cellStyle name="SAPBEXHLevel1 2" xfId="150"/>
    <cellStyle name="SAPBEXHLevel1X" xfId="68"/>
    <cellStyle name="SAPBEXHLevel1X 2" xfId="151"/>
    <cellStyle name="SAPBEXHLevel2" xfId="69"/>
    <cellStyle name="SAPBEXHLevel2 2" xfId="152"/>
    <cellStyle name="SAPBEXHLevel2X" xfId="70"/>
    <cellStyle name="SAPBEXHLevel2X 2" xfId="153"/>
    <cellStyle name="SAPBEXHLevel3" xfId="71"/>
    <cellStyle name="SAPBEXHLevel3 2" xfId="154"/>
    <cellStyle name="SAPBEXHLevel3X" xfId="72"/>
    <cellStyle name="SAPBEXHLevel3X 2" xfId="155"/>
    <cellStyle name="SAPBEXinputData" xfId="73"/>
    <cellStyle name="SAPBEXinputData 2" xfId="156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Suma" xfId="105" builtinId="25" customBuiltin="1"/>
    <cellStyle name="Tekst objaśnienia" xfId="104" builtinId="53" customBuiltin="1"/>
    <cellStyle name="Tekst ostrzeżenia" xfId="103" builtinId="11" customBuiltin="1"/>
    <cellStyle name="Total" xfId="85"/>
    <cellStyle name="Tytuł" xfId="90" builtinId="15" customBuiltin="1"/>
    <cellStyle name="Uwaga 2" xfId="131"/>
    <cellStyle name="Uwaga 3" xfId="133"/>
    <cellStyle name="Walutowy" xfId="86" builtinId="4"/>
    <cellStyle name="Walutowy 2" xfId="157"/>
    <cellStyle name="Warning Text" xfId="87"/>
    <cellStyle name="Zły" xfId="96" builtinId="27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43"/>
  <sheetViews>
    <sheetView topLeftCell="A34" zoomScale="90" zoomScaleNormal="90" workbookViewId="0">
      <selection activeCell="D55" sqref="D55"/>
    </sheetView>
  </sheetViews>
  <sheetFormatPr defaultRowHeight="12.75" x14ac:dyDescent="0.2"/>
  <cols>
    <col min="1" max="1" width="35.7109375" style="197" customWidth="1"/>
    <col min="2" max="2" width="16.28515625" style="264" customWidth="1"/>
    <col min="3" max="3" width="16.28515625" style="198" customWidth="1"/>
    <col min="4" max="4" width="35.7109375" style="198" customWidth="1"/>
    <col min="5" max="5" width="16.28515625" style="264" customWidth="1"/>
    <col min="6" max="6" width="16.28515625" style="198" customWidth="1"/>
    <col min="7" max="7" width="15.42578125" style="244" bestFit="1" customWidth="1"/>
    <col min="8" max="8" width="14.42578125" style="197" bestFit="1" customWidth="1"/>
    <col min="9" max="10" width="14.85546875" style="197" bestFit="1" customWidth="1"/>
    <col min="11" max="11" width="13.28515625" style="197" bestFit="1" customWidth="1"/>
    <col min="12" max="256" width="9.140625" style="197"/>
    <col min="257" max="257" width="35.7109375" style="197" customWidth="1"/>
    <col min="258" max="259" width="16.28515625" style="197" customWidth="1"/>
    <col min="260" max="260" width="35.7109375" style="197" customWidth="1"/>
    <col min="261" max="262" width="16.28515625" style="197" customWidth="1"/>
    <col min="263" max="263" width="15.42578125" style="197" bestFit="1" customWidth="1"/>
    <col min="264" max="264" width="14.42578125" style="197" bestFit="1" customWidth="1"/>
    <col min="265" max="512" width="9.140625" style="197"/>
    <col min="513" max="513" width="35.7109375" style="197" customWidth="1"/>
    <col min="514" max="515" width="16.28515625" style="197" customWidth="1"/>
    <col min="516" max="516" width="35.7109375" style="197" customWidth="1"/>
    <col min="517" max="518" width="16.28515625" style="197" customWidth="1"/>
    <col min="519" max="519" width="15.42578125" style="197" bestFit="1" customWidth="1"/>
    <col min="520" max="520" width="14.42578125" style="197" bestFit="1" customWidth="1"/>
    <col min="521" max="768" width="9.140625" style="197"/>
    <col min="769" max="769" width="35.7109375" style="197" customWidth="1"/>
    <col min="770" max="771" width="16.28515625" style="197" customWidth="1"/>
    <col min="772" max="772" width="35.7109375" style="197" customWidth="1"/>
    <col min="773" max="774" width="16.28515625" style="197" customWidth="1"/>
    <col min="775" max="775" width="15.42578125" style="197" bestFit="1" customWidth="1"/>
    <col min="776" max="776" width="14.42578125" style="197" bestFit="1" customWidth="1"/>
    <col min="777" max="1024" width="9.140625" style="197"/>
    <col min="1025" max="1025" width="35.7109375" style="197" customWidth="1"/>
    <col min="1026" max="1027" width="16.28515625" style="197" customWidth="1"/>
    <col min="1028" max="1028" width="35.7109375" style="197" customWidth="1"/>
    <col min="1029" max="1030" width="16.28515625" style="197" customWidth="1"/>
    <col min="1031" max="1031" width="15.42578125" style="197" bestFit="1" customWidth="1"/>
    <col min="1032" max="1032" width="14.42578125" style="197" bestFit="1" customWidth="1"/>
    <col min="1033" max="1280" width="9.140625" style="197"/>
    <col min="1281" max="1281" width="35.7109375" style="197" customWidth="1"/>
    <col min="1282" max="1283" width="16.28515625" style="197" customWidth="1"/>
    <col min="1284" max="1284" width="35.7109375" style="197" customWidth="1"/>
    <col min="1285" max="1286" width="16.28515625" style="197" customWidth="1"/>
    <col min="1287" max="1287" width="15.42578125" style="197" bestFit="1" customWidth="1"/>
    <col min="1288" max="1288" width="14.42578125" style="197" bestFit="1" customWidth="1"/>
    <col min="1289" max="1536" width="9.140625" style="197"/>
    <col min="1537" max="1537" width="35.7109375" style="197" customWidth="1"/>
    <col min="1538" max="1539" width="16.28515625" style="197" customWidth="1"/>
    <col min="1540" max="1540" width="35.7109375" style="197" customWidth="1"/>
    <col min="1541" max="1542" width="16.28515625" style="197" customWidth="1"/>
    <col min="1543" max="1543" width="15.42578125" style="197" bestFit="1" customWidth="1"/>
    <col min="1544" max="1544" width="14.42578125" style="197" bestFit="1" customWidth="1"/>
    <col min="1545" max="1792" width="9.140625" style="197"/>
    <col min="1793" max="1793" width="35.7109375" style="197" customWidth="1"/>
    <col min="1794" max="1795" width="16.28515625" style="197" customWidth="1"/>
    <col min="1796" max="1796" width="35.7109375" style="197" customWidth="1"/>
    <col min="1797" max="1798" width="16.28515625" style="197" customWidth="1"/>
    <col min="1799" max="1799" width="15.42578125" style="197" bestFit="1" customWidth="1"/>
    <col min="1800" max="1800" width="14.42578125" style="197" bestFit="1" customWidth="1"/>
    <col min="1801" max="2048" width="9.140625" style="197"/>
    <col min="2049" max="2049" width="35.7109375" style="197" customWidth="1"/>
    <col min="2050" max="2051" width="16.28515625" style="197" customWidth="1"/>
    <col min="2052" max="2052" width="35.7109375" style="197" customWidth="1"/>
    <col min="2053" max="2054" width="16.28515625" style="197" customWidth="1"/>
    <col min="2055" max="2055" width="15.42578125" style="197" bestFit="1" customWidth="1"/>
    <col min="2056" max="2056" width="14.42578125" style="197" bestFit="1" customWidth="1"/>
    <col min="2057" max="2304" width="9.140625" style="197"/>
    <col min="2305" max="2305" width="35.7109375" style="197" customWidth="1"/>
    <col min="2306" max="2307" width="16.28515625" style="197" customWidth="1"/>
    <col min="2308" max="2308" width="35.7109375" style="197" customWidth="1"/>
    <col min="2309" max="2310" width="16.28515625" style="197" customWidth="1"/>
    <col min="2311" max="2311" width="15.42578125" style="197" bestFit="1" customWidth="1"/>
    <col min="2312" max="2312" width="14.42578125" style="197" bestFit="1" customWidth="1"/>
    <col min="2313" max="2560" width="9.140625" style="197"/>
    <col min="2561" max="2561" width="35.7109375" style="197" customWidth="1"/>
    <col min="2562" max="2563" width="16.28515625" style="197" customWidth="1"/>
    <col min="2564" max="2564" width="35.7109375" style="197" customWidth="1"/>
    <col min="2565" max="2566" width="16.28515625" style="197" customWidth="1"/>
    <col min="2567" max="2567" width="15.42578125" style="197" bestFit="1" customWidth="1"/>
    <col min="2568" max="2568" width="14.42578125" style="197" bestFit="1" customWidth="1"/>
    <col min="2569" max="2816" width="9.140625" style="197"/>
    <col min="2817" max="2817" width="35.7109375" style="197" customWidth="1"/>
    <col min="2818" max="2819" width="16.28515625" style="197" customWidth="1"/>
    <col min="2820" max="2820" width="35.7109375" style="197" customWidth="1"/>
    <col min="2821" max="2822" width="16.28515625" style="197" customWidth="1"/>
    <col min="2823" max="2823" width="15.42578125" style="197" bestFit="1" customWidth="1"/>
    <col min="2824" max="2824" width="14.42578125" style="197" bestFit="1" customWidth="1"/>
    <col min="2825" max="3072" width="9.140625" style="197"/>
    <col min="3073" max="3073" width="35.7109375" style="197" customWidth="1"/>
    <col min="3074" max="3075" width="16.28515625" style="197" customWidth="1"/>
    <col min="3076" max="3076" width="35.7109375" style="197" customWidth="1"/>
    <col min="3077" max="3078" width="16.28515625" style="197" customWidth="1"/>
    <col min="3079" max="3079" width="15.42578125" style="197" bestFit="1" customWidth="1"/>
    <col min="3080" max="3080" width="14.42578125" style="197" bestFit="1" customWidth="1"/>
    <col min="3081" max="3328" width="9.140625" style="197"/>
    <col min="3329" max="3329" width="35.7109375" style="197" customWidth="1"/>
    <col min="3330" max="3331" width="16.28515625" style="197" customWidth="1"/>
    <col min="3332" max="3332" width="35.7109375" style="197" customWidth="1"/>
    <col min="3333" max="3334" width="16.28515625" style="197" customWidth="1"/>
    <col min="3335" max="3335" width="15.42578125" style="197" bestFit="1" customWidth="1"/>
    <col min="3336" max="3336" width="14.42578125" style="197" bestFit="1" customWidth="1"/>
    <col min="3337" max="3584" width="9.140625" style="197"/>
    <col min="3585" max="3585" width="35.7109375" style="197" customWidth="1"/>
    <col min="3586" max="3587" width="16.28515625" style="197" customWidth="1"/>
    <col min="3588" max="3588" width="35.7109375" style="197" customWidth="1"/>
    <col min="3589" max="3590" width="16.28515625" style="197" customWidth="1"/>
    <col min="3591" max="3591" width="15.42578125" style="197" bestFit="1" customWidth="1"/>
    <col min="3592" max="3592" width="14.42578125" style="197" bestFit="1" customWidth="1"/>
    <col min="3593" max="3840" width="9.140625" style="197"/>
    <col min="3841" max="3841" width="35.7109375" style="197" customWidth="1"/>
    <col min="3842" max="3843" width="16.28515625" style="197" customWidth="1"/>
    <col min="3844" max="3844" width="35.7109375" style="197" customWidth="1"/>
    <col min="3845" max="3846" width="16.28515625" style="197" customWidth="1"/>
    <col min="3847" max="3847" width="15.42578125" style="197" bestFit="1" customWidth="1"/>
    <col min="3848" max="3848" width="14.42578125" style="197" bestFit="1" customWidth="1"/>
    <col min="3849" max="4096" width="9.140625" style="197"/>
    <col min="4097" max="4097" width="35.7109375" style="197" customWidth="1"/>
    <col min="4098" max="4099" width="16.28515625" style="197" customWidth="1"/>
    <col min="4100" max="4100" width="35.7109375" style="197" customWidth="1"/>
    <col min="4101" max="4102" width="16.28515625" style="197" customWidth="1"/>
    <col min="4103" max="4103" width="15.42578125" style="197" bestFit="1" customWidth="1"/>
    <col min="4104" max="4104" width="14.42578125" style="197" bestFit="1" customWidth="1"/>
    <col min="4105" max="4352" width="9.140625" style="197"/>
    <col min="4353" max="4353" width="35.7109375" style="197" customWidth="1"/>
    <col min="4354" max="4355" width="16.28515625" style="197" customWidth="1"/>
    <col min="4356" max="4356" width="35.7109375" style="197" customWidth="1"/>
    <col min="4357" max="4358" width="16.28515625" style="197" customWidth="1"/>
    <col min="4359" max="4359" width="15.42578125" style="197" bestFit="1" customWidth="1"/>
    <col min="4360" max="4360" width="14.42578125" style="197" bestFit="1" customWidth="1"/>
    <col min="4361" max="4608" width="9.140625" style="197"/>
    <col min="4609" max="4609" width="35.7109375" style="197" customWidth="1"/>
    <col min="4610" max="4611" width="16.28515625" style="197" customWidth="1"/>
    <col min="4612" max="4612" width="35.7109375" style="197" customWidth="1"/>
    <col min="4613" max="4614" width="16.28515625" style="197" customWidth="1"/>
    <col min="4615" max="4615" width="15.42578125" style="197" bestFit="1" customWidth="1"/>
    <col min="4616" max="4616" width="14.42578125" style="197" bestFit="1" customWidth="1"/>
    <col min="4617" max="4864" width="9.140625" style="197"/>
    <col min="4865" max="4865" width="35.7109375" style="197" customWidth="1"/>
    <col min="4866" max="4867" width="16.28515625" style="197" customWidth="1"/>
    <col min="4868" max="4868" width="35.7109375" style="197" customWidth="1"/>
    <col min="4869" max="4870" width="16.28515625" style="197" customWidth="1"/>
    <col min="4871" max="4871" width="15.42578125" style="197" bestFit="1" customWidth="1"/>
    <col min="4872" max="4872" width="14.42578125" style="197" bestFit="1" customWidth="1"/>
    <col min="4873" max="5120" width="9.140625" style="197"/>
    <col min="5121" max="5121" width="35.7109375" style="197" customWidth="1"/>
    <col min="5122" max="5123" width="16.28515625" style="197" customWidth="1"/>
    <col min="5124" max="5124" width="35.7109375" style="197" customWidth="1"/>
    <col min="5125" max="5126" width="16.28515625" style="197" customWidth="1"/>
    <col min="5127" max="5127" width="15.42578125" style="197" bestFit="1" customWidth="1"/>
    <col min="5128" max="5128" width="14.42578125" style="197" bestFit="1" customWidth="1"/>
    <col min="5129" max="5376" width="9.140625" style="197"/>
    <col min="5377" max="5377" width="35.7109375" style="197" customWidth="1"/>
    <col min="5378" max="5379" width="16.28515625" style="197" customWidth="1"/>
    <col min="5380" max="5380" width="35.7109375" style="197" customWidth="1"/>
    <col min="5381" max="5382" width="16.28515625" style="197" customWidth="1"/>
    <col min="5383" max="5383" width="15.42578125" style="197" bestFit="1" customWidth="1"/>
    <col min="5384" max="5384" width="14.42578125" style="197" bestFit="1" customWidth="1"/>
    <col min="5385" max="5632" width="9.140625" style="197"/>
    <col min="5633" max="5633" width="35.7109375" style="197" customWidth="1"/>
    <col min="5634" max="5635" width="16.28515625" style="197" customWidth="1"/>
    <col min="5636" max="5636" width="35.7109375" style="197" customWidth="1"/>
    <col min="5637" max="5638" width="16.28515625" style="197" customWidth="1"/>
    <col min="5639" max="5639" width="15.42578125" style="197" bestFit="1" customWidth="1"/>
    <col min="5640" max="5640" width="14.42578125" style="197" bestFit="1" customWidth="1"/>
    <col min="5641" max="5888" width="9.140625" style="197"/>
    <col min="5889" max="5889" width="35.7109375" style="197" customWidth="1"/>
    <col min="5890" max="5891" width="16.28515625" style="197" customWidth="1"/>
    <col min="5892" max="5892" width="35.7109375" style="197" customWidth="1"/>
    <col min="5893" max="5894" width="16.28515625" style="197" customWidth="1"/>
    <col min="5895" max="5895" width="15.42578125" style="197" bestFit="1" customWidth="1"/>
    <col min="5896" max="5896" width="14.42578125" style="197" bestFit="1" customWidth="1"/>
    <col min="5897" max="6144" width="9.140625" style="197"/>
    <col min="6145" max="6145" width="35.7109375" style="197" customWidth="1"/>
    <col min="6146" max="6147" width="16.28515625" style="197" customWidth="1"/>
    <col min="6148" max="6148" width="35.7109375" style="197" customWidth="1"/>
    <col min="6149" max="6150" width="16.28515625" style="197" customWidth="1"/>
    <col min="6151" max="6151" width="15.42578125" style="197" bestFit="1" customWidth="1"/>
    <col min="6152" max="6152" width="14.42578125" style="197" bestFit="1" customWidth="1"/>
    <col min="6153" max="6400" width="9.140625" style="197"/>
    <col min="6401" max="6401" width="35.7109375" style="197" customWidth="1"/>
    <col min="6402" max="6403" width="16.28515625" style="197" customWidth="1"/>
    <col min="6404" max="6404" width="35.7109375" style="197" customWidth="1"/>
    <col min="6405" max="6406" width="16.28515625" style="197" customWidth="1"/>
    <col min="6407" max="6407" width="15.42578125" style="197" bestFit="1" customWidth="1"/>
    <col min="6408" max="6408" width="14.42578125" style="197" bestFit="1" customWidth="1"/>
    <col min="6409" max="6656" width="9.140625" style="197"/>
    <col min="6657" max="6657" width="35.7109375" style="197" customWidth="1"/>
    <col min="6658" max="6659" width="16.28515625" style="197" customWidth="1"/>
    <col min="6660" max="6660" width="35.7109375" style="197" customWidth="1"/>
    <col min="6661" max="6662" width="16.28515625" style="197" customWidth="1"/>
    <col min="6663" max="6663" width="15.42578125" style="197" bestFit="1" customWidth="1"/>
    <col min="6664" max="6664" width="14.42578125" style="197" bestFit="1" customWidth="1"/>
    <col min="6665" max="6912" width="9.140625" style="197"/>
    <col min="6913" max="6913" width="35.7109375" style="197" customWidth="1"/>
    <col min="6914" max="6915" width="16.28515625" style="197" customWidth="1"/>
    <col min="6916" max="6916" width="35.7109375" style="197" customWidth="1"/>
    <col min="6917" max="6918" width="16.28515625" style="197" customWidth="1"/>
    <col min="6919" max="6919" width="15.42578125" style="197" bestFit="1" customWidth="1"/>
    <col min="6920" max="6920" width="14.42578125" style="197" bestFit="1" customWidth="1"/>
    <col min="6921" max="7168" width="9.140625" style="197"/>
    <col min="7169" max="7169" width="35.7109375" style="197" customWidth="1"/>
    <col min="7170" max="7171" width="16.28515625" style="197" customWidth="1"/>
    <col min="7172" max="7172" width="35.7109375" style="197" customWidth="1"/>
    <col min="7173" max="7174" width="16.28515625" style="197" customWidth="1"/>
    <col min="7175" max="7175" width="15.42578125" style="197" bestFit="1" customWidth="1"/>
    <col min="7176" max="7176" width="14.42578125" style="197" bestFit="1" customWidth="1"/>
    <col min="7177" max="7424" width="9.140625" style="197"/>
    <col min="7425" max="7425" width="35.7109375" style="197" customWidth="1"/>
    <col min="7426" max="7427" width="16.28515625" style="197" customWidth="1"/>
    <col min="7428" max="7428" width="35.7109375" style="197" customWidth="1"/>
    <col min="7429" max="7430" width="16.28515625" style="197" customWidth="1"/>
    <col min="7431" max="7431" width="15.42578125" style="197" bestFit="1" customWidth="1"/>
    <col min="7432" max="7432" width="14.42578125" style="197" bestFit="1" customWidth="1"/>
    <col min="7433" max="7680" width="9.140625" style="197"/>
    <col min="7681" max="7681" width="35.7109375" style="197" customWidth="1"/>
    <col min="7682" max="7683" width="16.28515625" style="197" customWidth="1"/>
    <col min="7684" max="7684" width="35.7109375" style="197" customWidth="1"/>
    <col min="7685" max="7686" width="16.28515625" style="197" customWidth="1"/>
    <col min="7687" max="7687" width="15.42578125" style="197" bestFit="1" customWidth="1"/>
    <col min="7688" max="7688" width="14.42578125" style="197" bestFit="1" customWidth="1"/>
    <col min="7689" max="7936" width="9.140625" style="197"/>
    <col min="7937" max="7937" width="35.7109375" style="197" customWidth="1"/>
    <col min="7938" max="7939" width="16.28515625" style="197" customWidth="1"/>
    <col min="7940" max="7940" width="35.7109375" style="197" customWidth="1"/>
    <col min="7941" max="7942" width="16.28515625" style="197" customWidth="1"/>
    <col min="7943" max="7943" width="15.42578125" style="197" bestFit="1" customWidth="1"/>
    <col min="7944" max="7944" width="14.42578125" style="197" bestFit="1" customWidth="1"/>
    <col min="7945" max="8192" width="9.140625" style="197"/>
    <col min="8193" max="8193" width="35.7109375" style="197" customWidth="1"/>
    <col min="8194" max="8195" width="16.28515625" style="197" customWidth="1"/>
    <col min="8196" max="8196" width="35.7109375" style="197" customWidth="1"/>
    <col min="8197" max="8198" width="16.28515625" style="197" customWidth="1"/>
    <col min="8199" max="8199" width="15.42578125" style="197" bestFit="1" customWidth="1"/>
    <col min="8200" max="8200" width="14.42578125" style="197" bestFit="1" customWidth="1"/>
    <col min="8201" max="8448" width="9.140625" style="197"/>
    <col min="8449" max="8449" width="35.7109375" style="197" customWidth="1"/>
    <col min="8450" max="8451" width="16.28515625" style="197" customWidth="1"/>
    <col min="8452" max="8452" width="35.7109375" style="197" customWidth="1"/>
    <col min="8453" max="8454" width="16.28515625" style="197" customWidth="1"/>
    <col min="8455" max="8455" width="15.42578125" style="197" bestFit="1" customWidth="1"/>
    <col min="8456" max="8456" width="14.42578125" style="197" bestFit="1" customWidth="1"/>
    <col min="8457" max="8704" width="9.140625" style="197"/>
    <col min="8705" max="8705" width="35.7109375" style="197" customWidth="1"/>
    <col min="8706" max="8707" width="16.28515625" style="197" customWidth="1"/>
    <col min="8708" max="8708" width="35.7109375" style="197" customWidth="1"/>
    <col min="8709" max="8710" width="16.28515625" style="197" customWidth="1"/>
    <col min="8711" max="8711" width="15.42578125" style="197" bestFit="1" customWidth="1"/>
    <col min="8712" max="8712" width="14.42578125" style="197" bestFit="1" customWidth="1"/>
    <col min="8713" max="8960" width="9.140625" style="197"/>
    <col min="8961" max="8961" width="35.7109375" style="197" customWidth="1"/>
    <col min="8962" max="8963" width="16.28515625" style="197" customWidth="1"/>
    <col min="8964" max="8964" width="35.7109375" style="197" customWidth="1"/>
    <col min="8965" max="8966" width="16.28515625" style="197" customWidth="1"/>
    <col min="8967" max="8967" width="15.42578125" style="197" bestFit="1" customWidth="1"/>
    <col min="8968" max="8968" width="14.42578125" style="197" bestFit="1" customWidth="1"/>
    <col min="8969" max="9216" width="9.140625" style="197"/>
    <col min="9217" max="9217" width="35.7109375" style="197" customWidth="1"/>
    <col min="9218" max="9219" width="16.28515625" style="197" customWidth="1"/>
    <col min="9220" max="9220" width="35.7109375" style="197" customWidth="1"/>
    <col min="9221" max="9222" width="16.28515625" style="197" customWidth="1"/>
    <col min="9223" max="9223" width="15.42578125" style="197" bestFit="1" customWidth="1"/>
    <col min="9224" max="9224" width="14.42578125" style="197" bestFit="1" customWidth="1"/>
    <col min="9225" max="9472" width="9.140625" style="197"/>
    <col min="9473" max="9473" width="35.7109375" style="197" customWidth="1"/>
    <col min="9474" max="9475" width="16.28515625" style="197" customWidth="1"/>
    <col min="9476" max="9476" width="35.7109375" style="197" customWidth="1"/>
    <col min="9477" max="9478" width="16.28515625" style="197" customWidth="1"/>
    <col min="9479" max="9479" width="15.42578125" style="197" bestFit="1" customWidth="1"/>
    <col min="9480" max="9480" width="14.42578125" style="197" bestFit="1" customWidth="1"/>
    <col min="9481" max="9728" width="9.140625" style="197"/>
    <col min="9729" max="9729" width="35.7109375" style="197" customWidth="1"/>
    <col min="9730" max="9731" width="16.28515625" style="197" customWidth="1"/>
    <col min="9732" max="9732" width="35.7109375" style="197" customWidth="1"/>
    <col min="9733" max="9734" width="16.28515625" style="197" customWidth="1"/>
    <col min="9735" max="9735" width="15.42578125" style="197" bestFit="1" customWidth="1"/>
    <col min="9736" max="9736" width="14.42578125" style="197" bestFit="1" customWidth="1"/>
    <col min="9737" max="9984" width="9.140625" style="197"/>
    <col min="9985" max="9985" width="35.7109375" style="197" customWidth="1"/>
    <col min="9986" max="9987" width="16.28515625" style="197" customWidth="1"/>
    <col min="9988" max="9988" width="35.7109375" style="197" customWidth="1"/>
    <col min="9989" max="9990" width="16.28515625" style="197" customWidth="1"/>
    <col min="9991" max="9991" width="15.42578125" style="197" bestFit="1" customWidth="1"/>
    <col min="9992" max="9992" width="14.42578125" style="197" bestFit="1" customWidth="1"/>
    <col min="9993" max="10240" width="9.140625" style="197"/>
    <col min="10241" max="10241" width="35.7109375" style="197" customWidth="1"/>
    <col min="10242" max="10243" width="16.28515625" style="197" customWidth="1"/>
    <col min="10244" max="10244" width="35.7109375" style="197" customWidth="1"/>
    <col min="10245" max="10246" width="16.28515625" style="197" customWidth="1"/>
    <col min="10247" max="10247" width="15.42578125" style="197" bestFit="1" customWidth="1"/>
    <col min="10248" max="10248" width="14.42578125" style="197" bestFit="1" customWidth="1"/>
    <col min="10249" max="10496" width="9.140625" style="197"/>
    <col min="10497" max="10497" width="35.7109375" style="197" customWidth="1"/>
    <col min="10498" max="10499" width="16.28515625" style="197" customWidth="1"/>
    <col min="10500" max="10500" width="35.7109375" style="197" customWidth="1"/>
    <col min="10501" max="10502" width="16.28515625" style="197" customWidth="1"/>
    <col min="10503" max="10503" width="15.42578125" style="197" bestFit="1" customWidth="1"/>
    <col min="10504" max="10504" width="14.42578125" style="197" bestFit="1" customWidth="1"/>
    <col min="10505" max="10752" width="9.140625" style="197"/>
    <col min="10753" max="10753" width="35.7109375" style="197" customWidth="1"/>
    <col min="10754" max="10755" width="16.28515625" style="197" customWidth="1"/>
    <col min="10756" max="10756" width="35.7109375" style="197" customWidth="1"/>
    <col min="10757" max="10758" width="16.28515625" style="197" customWidth="1"/>
    <col min="10759" max="10759" width="15.42578125" style="197" bestFit="1" customWidth="1"/>
    <col min="10760" max="10760" width="14.42578125" style="197" bestFit="1" customWidth="1"/>
    <col min="10761" max="11008" width="9.140625" style="197"/>
    <col min="11009" max="11009" width="35.7109375" style="197" customWidth="1"/>
    <col min="11010" max="11011" width="16.28515625" style="197" customWidth="1"/>
    <col min="11012" max="11012" width="35.7109375" style="197" customWidth="1"/>
    <col min="11013" max="11014" width="16.28515625" style="197" customWidth="1"/>
    <col min="11015" max="11015" width="15.42578125" style="197" bestFit="1" customWidth="1"/>
    <col min="11016" max="11016" width="14.42578125" style="197" bestFit="1" customWidth="1"/>
    <col min="11017" max="11264" width="9.140625" style="197"/>
    <col min="11265" max="11265" width="35.7109375" style="197" customWidth="1"/>
    <col min="11266" max="11267" width="16.28515625" style="197" customWidth="1"/>
    <col min="11268" max="11268" width="35.7109375" style="197" customWidth="1"/>
    <col min="11269" max="11270" width="16.28515625" style="197" customWidth="1"/>
    <col min="11271" max="11271" width="15.42578125" style="197" bestFit="1" customWidth="1"/>
    <col min="11272" max="11272" width="14.42578125" style="197" bestFit="1" customWidth="1"/>
    <col min="11273" max="11520" width="9.140625" style="197"/>
    <col min="11521" max="11521" width="35.7109375" style="197" customWidth="1"/>
    <col min="11522" max="11523" width="16.28515625" style="197" customWidth="1"/>
    <col min="11524" max="11524" width="35.7109375" style="197" customWidth="1"/>
    <col min="11525" max="11526" width="16.28515625" style="197" customWidth="1"/>
    <col min="11527" max="11527" width="15.42578125" style="197" bestFit="1" customWidth="1"/>
    <col min="11528" max="11528" width="14.42578125" style="197" bestFit="1" customWidth="1"/>
    <col min="11529" max="11776" width="9.140625" style="197"/>
    <col min="11777" max="11777" width="35.7109375" style="197" customWidth="1"/>
    <col min="11778" max="11779" width="16.28515625" style="197" customWidth="1"/>
    <col min="11780" max="11780" width="35.7109375" style="197" customWidth="1"/>
    <col min="11781" max="11782" width="16.28515625" style="197" customWidth="1"/>
    <col min="11783" max="11783" width="15.42578125" style="197" bestFit="1" customWidth="1"/>
    <col min="11784" max="11784" width="14.42578125" style="197" bestFit="1" customWidth="1"/>
    <col min="11785" max="12032" width="9.140625" style="197"/>
    <col min="12033" max="12033" width="35.7109375" style="197" customWidth="1"/>
    <col min="12034" max="12035" width="16.28515625" style="197" customWidth="1"/>
    <col min="12036" max="12036" width="35.7109375" style="197" customWidth="1"/>
    <col min="12037" max="12038" width="16.28515625" style="197" customWidth="1"/>
    <col min="12039" max="12039" width="15.42578125" style="197" bestFit="1" customWidth="1"/>
    <col min="12040" max="12040" width="14.42578125" style="197" bestFit="1" customWidth="1"/>
    <col min="12041" max="12288" width="9.140625" style="197"/>
    <col min="12289" max="12289" width="35.7109375" style="197" customWidth="1"/>
    <col min="12290" max="12291" width="16.28515625" style="197" customWidth="1"/>
    <col min="12292" max="12292" width="35.7109375" style="197" customWidth="1"/>
    <col min="12293" max="12294" width="16.28515625" style="197" customWidth="1"/>
    <col min="12295" max="12295" width="15.42578125" style="197" bestFit="1" customWidth="1"/>
    <col min="12296" max="12296" width="14.42578125" style="197" bestFit="1" customWidth="1"/>
    <col min="12297" max="12544" width="9.140625" style="197"/>
    <col min="12545" max="12545" width="35.7109375" style="197" customWidth="1"/>
    <col min="12546" max="12547" width="16.28515625" style="197" customWidth="1"/>
    <col min="12548" max="12548" width="35.7109375" style="197" customWidth="1"/>
    <col min="12549" max="12550" width="16.28515625" style="197" customWidth="1"/>
    <col min="12551" max="12551" width="15.42578125" style="197" bestFit="1" customWidth="1"/>
    <col min="12552" max="12552" width="14.42578125" style="197" bestFit="1" customWidth="1"/>
    <col min="12553" max="12800" width="9.140625" style="197"/>
    <col min="12801" max="12801" width="35.7109375" style="197" customWidth="1"/>
    <col min="12802" max="12803" width="16.28515625" style="197" customWidth="1"/>
    <col min="12804" max="12804" width="35.7109375" style="197" customWidth="1"/>
    <col min="12805" max="12806" width="16.28515625" style="197" customWidth="1"/>
    <col min="12807" max="12807" width="15.42578125" style="197" bestFit="1" customWidth="1"/>
    <col min="12808" max="12808" width="14.42578125" style="197" bestFit="1" customWidth="1"/>
    <col min="12809" max="13056" width="9.140625" style="197"/>
    <col min="13057" max="13057" width="35.7109375" style="197" customWidth="1"/>
    <col min="13058" max="13059" width="16.28515625" style="197" customWidth="1"/>
    <col min="13060" max="13060" width="35.7109375" style="197" customWidth="1"/>
    <col min="13061" max="13062" width="16.28515625" style="197" customWidth="1"/>
    <col min="13063" max="13063" width="15.42578125" style="197" bestFit="1" customWidth="1"/>
    <col min="13064" max="13064" width="14.42578125" style="197" bestFit="1" customWidth="1"/>
    <col min="13065" max="13312" width="9.140625" style="197"/>
    <col min="13313" max="13313" width="35.7109375" style="197" customWidth="1"/>
    <col min="13314" max="13315" width="16.28515625" style="197" customWidth="1"/>
    <col min="13316" max="13316" width="35.7109375" style="197" customWidth="1"/>
    <col min="13317" max="13318" width="16.28515625" style="197" customWidth="1"/>
    <col min="13319" max="13319" width="15.42578125" style="197" bestFit="1" customWidth="1"/>
    <col min="13320" max="13320" width="14.42578125" style="197" bestFit="1" customWidth="1"/>
    <col min="13321" max="13568" width="9.140625" style="197"/>
    <col min="13569" max="13569" width="35.7109375" style="197" customWidth="1"/>
    <col min="13570" max="13571" width="16.28515625" style="197" customWidth="1"/>
    <col min="13572" max="13572" width="35.7109375" style="197" customWidth="1"/>
    <col min="13573" max="13574" width="16.28515625" style="197" customWidth="1"/>
    <col min="13575" max="13575" width="15.42578125" style="197" bestFit="1" customWidth="1"/>
    <col min="13576" max="13576" width="14.42578125" style="197" bestFit="1" customWidth="1"/>
    <col min="13577" max="13824" width="9.140625" style="197"/>
    <col min="13825" max="13825" width="35.7109375" style="197" customWidth="1"/>
    <col min="13826" max="13827" width="16.28515625" style="197" customWidth="1"/>
    <col min="13828" max="13828" width="35.7109375" style="197" customWidth="1"/>
    <col min="13829" max="13830" width="16.28515625" style="197" customWidth="1"/>
    <col min="13831" max="13831" width="15.42578125" style="197" bestFit="1" customWidth="1"/>
    <col min="13832" max="13832" width="14.42578125" style="197" bestFit="1" customWidth="1"/>
    <col min="13833" max="14080" width="9.140625" style="197"/>
    <col min="14081" max="14081" width="35.7109375" style="197" customWidth="1"/>
    <col min="14082" max="14083" width="16.28515625" style="197" customWidth="1"/>
    <col min="14084" max="14084" width="35.7109375" style="197" customWidth="1"/>
    <col min="14085" max="14086" width="16.28515625" style="197" customWidth="1"/>
    <col min="14087" max="14087" width="15.42578125" style="197" bestFit="1" customWidth="1"/>
    <col min="14088" max="14088" width="14.42578125" style="197" bestFit="1" customWidth="1"/>
    <col min="14089" max="14336" width="9.140625" style="197"/>
    <col min="14337" max="14337" width="35.7109375" style="197" customWidth="1"/>
    <col min="14338" max="14339" width="16.28515625" style="197" customWidth="1"/>
    <col min="14340" max="14340" width="35.7109375" style="197" customWidth="1"/>
    <col min="14341" max="14342" width="16.28515625" style="197" customWidth="1"/>
    <col min="14343" max="14343" width="15.42578125" style="197" bestFit="1" customWidth="1"/>
    <col min="14344" max="14344" width="14.42578125" style="197" bestFit="1" customWidth="1"/>
    <col min="14345" max="14592" width="9.140625" style="197"/>
    <col min="14593" max="14593" width="35.7109375" style="197" customWidth="1"/>
    <col min="14594" max="14595" width="16.28515625" style="197" customWidth="1"/>
    <col min="14596" max="14596" width="35.7109375" style="197" customWidth="1"/>
    <col min="14597" max="14598" width="16.28515625" style="197" customWidth="1"/>
    <col min="14599" max="14599" width="15.42578125" style="197" bestFit="1" customWidth="1"/>
    <col min="14600" max="14600" width="14.42578125" style="197" bestFit="1" customWidth="1"/>
    <col min="14601" max="14848" width="9.140625" style="197"/>
    <col min="14849" max="14849" width="35.7109375" style="197" customWidth="1"/>
    <col min="14850" max="14851" width="16.28515625" style="197" customWidth="1"/>
    <col min="14852" max="14852" width="35.7109375" style="197" customWidth="1"/>
    <col min="14853" max="14854" width="16.28515625" style="197" customWidth="1"/>
    <col min="14855" max="14855" width="15.42578125" style="197" bestFit="1" customWidth="1"/>
    <col min="14856" max="14856" width="14.42578125" style="197" bestFit="1" customWidth="1"/>
    <col min="14857" max="15104" width="9.140625" style="197"/>
    <col min="15105" max="15105" width="35.7109375" style="197" customWidth="1"/>
    <col min="15106" max="15107" width="16.28515625" style="197" customWidth="1"/>
    <col min="15108" max="15108" width="35.7109375" style="197" customWidth="1"/>
    <col min="15109" max="15110" width="16.28515625" style="197" customWidth="1"/>
    <col min="15111" max="15111" width="15.42578125" style="197" bestFit="1" customWidth="1"/>
    <col min="15112" max="15112" width="14.42578125" style="197" bestFit="1" customWidth="1"/>
    <col min="15113" max="15360" width="9.140625" style="197"/>
    <col min="15361" max="15361" width="35.7109375" style="197" customWidth="1"/>
    <col min="15362" max="15363" width="16.28515625" style="197" customWidth="1"/>
    <col min="15364" max="15364" width="35.7109375" style="197" customWidth="1"/>
    <col min="15365" max="15366" width="16.28515625" style="197" customWidth="1"/>
    <col min="15367" max="15367" width="15.42578125" style="197" bestFit="1" customWidth="1"/>
    <col min="15368" max="15368" width="14.42578125" style="197" bestFit="1" customWidth="1"/>
    <col min="15369" max="15616" width="9.140625" style="197"/>
    <col min="15617" max="15617" width="35.7109375" style="197" customWidth="1"/>
    <col min="15618" max="15619" width="16.28515625" style="197" customWidth="1"/>
    <col min="15620" max="15620" width="35.7109375" style="197" customWidth="1"/>
    <col min="15621" max="15622" width="16.28515625" style="197" customWidth="1"/>
    <col min="15623" max="15623" width="15.42578125" style="197" bestFit="1" customWidth="1"/>
    <col min="15624" max="15624" width="14.42578125" style="197" bestFit="1" customWidth="1"/>
    <col min="15625" max="15872" width="9.140625" style="197"/>
    <col min="15873" max="15873" width="35.7109375" style="197" customWidth="1"/>
    <col min="15874" max="15875" width="16.28515625" style="197" customWidth="1"/>
    <col min="15876" max="15876" width="35.7109375" style="197" customWidth="1"/>
    <col min="15877" max="15878" width="16.28515625" style="197" customWidth="1"/>
    <col min="15879" max="15879" width="15.42578125" style="197" bestFit="1" customWidth="1"/>
    <col min="15880" max="15880" width="14.42578125" style="197" bestFit="1" customWidth="1"/>
    <col min="15881" max="16128" width="9.140625" style="197"/>
    <col min="16129" max="16129" width="35.7109375" style="197" customWidth="1"/>
    <col min="16130" max="16131" width="16.28515625" style="197" customWidth="1"/>
    <col min="16132" max="16132" width="35.7109375" style="197" customWidth="1"/>
    <col min="16133" max="16134" width="16.28515625" style="197" customWidth="1"/>
    <col min="16135" max="16135" width="15.42578125" style="197" bestFit="1" customWidth="1"/>
    <col min="16136" max="16136" width="14.42578125" style="197" bestFit="1" customWidth="1"/>
    <col min="16137" max="16384" width="9.140625" style="197"/>
  </cols>
  <sheetData>
    <row r="1" spans="1:10" x14ac:dyDescent="0.2">
      <c r="A1" s="196" t="s">
        <v>445</v>
      </c>
    </row>
    <row r="2" spans="1:10" ht="13.5" thickBot="1" x14ac:dyDescent="0.25">
      <c r="E2" s="276"/>
    </row>
    <row r="3" spans="1:10" ht="15.75" x14ac:dyDescent="0.2">
      <c r="A3" s="199" t="s">
        <v>446</v>
      </c>
      <c r="B3" s="265"/>
      <c r="C3" s="776" t="s">
        <v>447</v>
      </c>
      <c r="D3" s="776"/>
      <c r="E3" s="277" t="s">
        <v>448</v>
      </c>
      <c r="F3" s="200"/>
    </row>
    <row r="4" spans="1:10" x14ac:dyDescent="0.2">
      <c r="A4" s="201" t="s">
        <v>449</v>
      </c>
      <c r="B4" s="266"/>
      <c r="C4" s="777" t="s">
        <v>450</v>
      </c>
      <c r="D4" s="777"/>
      <c r="E4" s="278" t="s">
        <v>451</v>
      </c>
      <c r="F4" s="202"/>
    </row>
    <row r="5" spans="1:10" x14ac:dyDescent="0.2">
      <c r="A5" s="203" t="s">
        <v>452</v>
      </c>
      <c r="B5" s="267"/>
      <c r="C5" s="778" t="s">
        <v>453</v>
      </c>
      <c r="D5" s="778"/>
      <c r="E5" s="278" t="s">
        <v>454</v>
      </c>
      <c r="F5" s="202"/>
    </row>
    <row r="6" spans="1:10" x14ac:dyDescent="0.2">
      <c r="A6" s="203" t="s">
        <v>455</v>
      </c>
      <c r="B6" s="267"/>
      <c r="C6" s="778" t="s">
        <v>456</v>
      </c>
      <c r="D6" s="778"/>
      <c r="E6" s="278" t="s">
        <v>457</v>
      </c>
      <c r="F6" s="202"/>
    </row>
    <row r="7" spans="1:10" x14ac:dyDescent="0.2">
      <c r="A7" s="204" t="s">
        <v>458</v>
      </c>
      <c r="B7" s="268"/>
      <c r="C7" s="779" t="s">
        <v>459</v>
      </c>
      <c r="D7" s="779"/>
      <c r="E7" s="279"/>
      <c r="F7" s="205"/>
    </row>
    <row r="8" spans="1:10" x14ac:dyDescent="0.2">
      <c r="A8" s="206" t="s">
        <v>460</v>
      </c>
      <c r="B8" s="269"/>
      <c r="C8" s="777" t="s">
        <v>461</v>
      </c>
      <c r="D8" s="777"/>
      <c r="E8" s="280" t="s">
        <v>462</v>
      </c>
      <c r="F8" s="207"/>
    </row>
    <row r="9" spans="1:10" x14ac:dyDescent="0.2">
      <c r="A9" s="201" t="s">
        <v>463</v>
      </c>
      <c r="B9" s="266"/>
      <c r="C9" s="208"/>
      <c r="D9" s="208"/>
      <c r="E9" s="281"/>
      <c r="F9" s="209"/>
    </row>
    <row r="10" spans="1:10" ht="13.5" thickBot="1" x14ac:dyDescent="0.25">
      <c r="A10" s="210" t="s">
        <v>45</v>
      </c>
      <c r="B10" s="270"/>
      <c r="C10" s="773" t="s">
        <v>617</v>
      </c>
      <c r="D10" s="773"/>
      <c r="E10" s="282"/>
      <c r="F10" s="211"/>
    </row>
    <row r="11" spans="1:10" ht="13.5" customHeight="1" thickBot="1" x14ac:dyDescent="0.25">
      <c r="A11" s="212"/>
      <c r="B11" s="271"/>
      <c r="C11" s="208"/>
      <c r="D11" s="208"/>
      <c r="E11" s="271"/>
      <c r="F11" s="209"/>
    </row>
    <row r="12" spans="1:10" s="217" customFormat="1" ht="26.25" thickBot="1" x14ac:dyDescent="0.25">
      <c r="A12" s="213" t="s">
        <v>141</v>
      </c>
      <c r="B12" s="272" t="s">
        <v>185</v>
      </c>
      <c r="C12" s="214" t="s">
        <v>464</v>
      </c>
      <c r="D12" s="215" t="s">
        <v>143</v>
      </c>
      <c r="E12" s="283" t="s">
        <v>599</v>
      </c>
      <c r="F12" s="216" t="s">
        <v>465</v>
      </c>
      <c r="G12" s="236"/>
    </row>
    <row r="13" spans="1:10" s="217" customFormat="1" ht="18.75" customHeight="1" x14ac:dyDescent="0.2">
      <c r="A13" s="218" t="s">
        <v>466</v>
      </c>
      <c r="B13" s="286">
        <f>B14+B15+B25+B26+B30+B31</f>
        <v>778205741.55000019</v>
      </c>
      <c r="C13" s="740">
        <f>C14+C15+C25+C26+C30+C31</f>
        <v>845679349.00999999</v>
      </c>
      <c r="D13" s="287" t="s">
        <v>467</v>
      </c>
      <c r="E13" s="288">
        <f>E14+E15+E19+E20+E21</f>
        <v>769054454.48000002</v>
      </c>
      <c r="F13" s="752">
        <f>F14+F15+F19+F20+F21</f>
        <v>834901927.96000004</v>
      </c>
      <c r="G13" s="236"/>
    </row>
    <row r="14" spans="1:10" s="217" customFormat="1" ht="18" customHeight="1" x14ac:dyDescent="0.2">
      <c r="A14" s="219" t="s">
        <v>468</v>
      </c>
      <c r="B14" s="289">
        <f>2228120.33-910714.82-1317405.51</f>
        <v>0</v>
      </c>
      <c r="C14" s="741">
        <f>1826249.51-651930.96-1174318.55</f>
        <v>0</v>
      </c>
      <c r="D14" s="290" t="s">
        <v>469</v>
      </c>
      <c r="E14" s="254">
        <f>Fundusz!I38</f>
        <v>912443996.67000008</v>
      </c>
      <c r="F14" s="753">
        <f>Fundusz!K38</f>
        <v>920084785.41000009</v>
      </c>
      <c r="G14" s="253"/>
      <c r="H14" s="236"/>
    </row>
    <row r="15" spans="1:10" s="217" customFormat="1" ht="16.5" customHeight="1" x14ac:dyDescent="0.2">
      <c r="A15" s="220" t="s">
        <v>470</v>
      </c>
      <c r="B15" s="291">
        <f>B16+B23+B24</f>
        <v>695014112.62000012</v>
      </c>
      <c r="C15" s="742">
        <f>C16+C23+C24</f>
        <v>771729647.23000002</v>
      </c>
      <c r="D15" s="292" t="s">
        <v>471</v>
      </c>
      <c r="E15" s="254">
        <f>E17</f>
        <v>-143389542.19000003</v>
      </c>
      <c r="F15" s="753">
        <f>F17</f>
        <v>-85182857.450000003</v>
      </c>
      <c r="G15" s="253"/>
    </row>
    <row r="16" spans="1:10" s="217" customFormat="1" ht="18" customHeight="1" x14ac:dyDescent="0.2">
      <c r="A16" s="218" t="s">
        <v>472</v>
      </c>
      <c r="B16" s="293">
        <f>SUM(B17:B22)-B18</f>
        <v>607058597.67000008</v>
      </c>
      <c r="C16" s="743">
        <f>SUM(C17:C22)-C18</f>
        <v>630429784.32000005</v>
      </c>
      <c r="D16" s="294" t="s">
        <v>473</v>
      </c>
      <c r="E16" s="255">
        <v>0</v>
      </c>
      <c r="F16" s="754">
        <v>0</v>
      </c>
      <c r="G16" s="253"/>
      <c r="J16" s="236"/>
    </row>
    <row r="17" spans="1:8" s="217" customFormat="1" ht="16.5" customHeight="1" x14ac:dyDescent="0.2">
      <c r="A17" s="221" t="s">
        <v>474</v>
      </c>
      <c r="B17" s="256">
        <f>20579794.9+441000956.03+8742420.88-6167679.94-85895.07</f>
        <v>464069596.79999995</v>
      </c>
      <c r="C17" s="744">
        <f>471938641.76+20579794.9+8563098.6-6682174.82-82567.29</f>
        <v>494316793.14999998</v>
      </c>
      <c r="D17" s="295" t="s">
        <v>475</v>
      </c>
      <c r="E17" s="255">
        <f>RZiS!I54</f>
        <v>-143389542.19000003</v>
      </c>
      <c r="F17" s="754">
        <f>RZiS!K54</f>
        <v>-85182857.450000003</v>
      </c>
      <c r="G17" s="253"/>
      <c r="H17" s="236"/>
    </row>
    <row r="18" spans="1:8" s="217" customFormat="1" ht="57" customHeight="1" x14ac:dyDescent="0.2">
      <c r="A18" s="222" t="s">
        <v>476</v>
      </c>
      <c r="B18" s="256">
        <f>8742420.88-85895.07</f>
        <v>8656525.8100000005</v>
      </c>
      <c r="C18" s="744">
        <f>8563098.6-82567.29</f>
        <v>8480531.3100000005</v>
      </c>
      <c r="D18" s="296" t="s">
        <v>477</v>
      </c>
      <c r="E18" s="254">
        <v>0</v>
      </c>
      <c r="F18" s="753">
        <v>0</v>
      </c>
      <c r="G18" s="253"/>
    </row>
    <row r="19" spans="1:8" s="217" customFormat="1" ht="25.5" x14ac:dyDescent="0.2">
      <c r="A19" s="222" t="s">
        <v>478</v>
      </c>
      <c r="B19" s="256">
        <f>105682606.49+207335510.51-35638756.39-137352779.42</f>
        <v>140026581.19000003</v>
      </c>
      <c r="C19" s="744">
        <f>104043919.48+211465984.96-36799324.5-145126373.69</f>
        <v>133584206.25</v>
      </c>
      <c r="D19" s="290" t="s">
        <v>479</v>
      </c>
      <c r="E19" s="254">
        <v>0</v>
      </c>
      <c r="F19" s="753">
        <v>0</v>
      </c>
      <c r="G19" s="253"/>
    </row>
    <row r="20" spans="1:8" s="217" customFormat="1" ht="18" customHeight="1" x14ac:dyDescent="0.2">
      <c r="A20" s="222" t="s">
        <v>480</v>
      </c>
      <c r="B20" s="256">
        <f>4963486.31+6198245.94-4785556.34-3708155.17</f>
        <v>2668020.7400000002</v>
      </c>
      <c r="C20" s="744">
        <f>4710880.1+6136731.1-4605855.3-4092892.48</f>
        <v>2148863.4199999995</v>
      </c>
      <c r="D20" s="290" t="s">
        <v>481</v>
      </c>
      <c r="E20" s="254">
        <v>0</v>
      </c>
      <c r="F20" s="753">
        <v>0</v>
      </c>
      <c r="G20" s="253"/>
    </row>
    <row r="21" spans="1:8" s="217" customFormat="1" x14ac:dyDescent="0.2">
      <c r="A21" s="222" t="s">
        <v>482</v>
      </c>
      <c r="B21" s="256">
        <f>416888.21-416888.21</f>
        <v>0</v>
      </c>
      <c r="C21" s="744">
        <f>475789.21-324119.21</f>
        <v>151670</v>
      </c>
      <c r="D21" s="290" t="s">
        <v>483</v>
      </c>
      <c r="E21" s="254">
        <v>0</v>
      </c>
      <c r="F21" s="753">
        <v>0</v>
      </c>
      <c r="G21" s="253"/>
    </row>
    <row r="22" spans="1:8" s="217" customFormat="1" ht="19.5" customHeight="1" x14ac:dyDescent="0.2">
      <c r="A22" s="223" t="s">
        <v>484</v>
      </c>
      <c r="B22" s="256">
        <f>3474300.67+9608019.86+20364.06-3200265.79-4830160.82-1004460.39-3773398.65</f>
        <v>294398.94000000041</v>
      </c>
      <c r="C22" s="744">
        <f>3438087.93+9260871.77+20364.06-3230200.49-4128086.32-1081559.93-4051225.52</f>
        <v>228251.49999999953</v>
      </c>
      <c r="D22" s="290"/>
      <c r="E22" s="254"/>
      <c r="F22" s="753"/>
      <c r="G22" s="236"/>
    </row>
    <row r="23" spans="1:8" s="217" customFormat="1" ht="25.5" x14ac:dyDescent="0.2">
      <c r="A23" s="219" t="s">
        <v>485</v>
      </c>
      <c r="B23" s="289">
        <f>90202595.96-2247081.01</f>
        <v>87955514.949999988</v>
      </c>
      <c r="C23" s="741">
        <f>143555553.92-2255691.01</f>
        <v>141299862.91</v>
      </c>
      <c r="D23" s="290" t="s">
        <v>486</v>
      </c>
      <c r="E23" s="254">
        <f>E24+E25+E36+E37</f>
        <v>52052387.419999987</v>
      </c>
      <c r="F23" s="753">
        <f>F24+F25+F36+F37</f>
        <v>59422651.539999999</v>
      </c>
      <c r="G23" s="236"/>
    </row>
    <row r="24" spans="1:8" s="217" customFormat="1" ht="25.5" x14ac:dyDescent="0.2">
      <c r="A24" s="219" t="s">
        <v>487</v>
      </c>
      <c r="B24" s="289">
        <v>0</v>
      </c>
      <c r="C24" s="741">
        <v>0</v>
      </c>
      <c r="D24" s="290" t="s">
        <v>488</v>
      </c>
      <c r="E24" s="254">
        <v>0</v>
      </c>
      <c r="F24" s="753">
        <v>0</v>
      </c>
      <c r="G24" s="236"/>
    </row>
    <row r="25" spans="1:8" s="217" customFormat="1" ht="17.25" customHeight="1" x14ac:dyDescent="0.2">
      <c r="A25" s="219" t="s">
        <v>489</v>
      </c>
      <c r="B25" s="289">
        <v>83191628.930000007</v>
      </c>
      <c r="C25" s="741">
        <v>73949701.780000001</v>
      </c>
      <c r="D25" s="290" t="s">
        <v>490</v>
      </c>
      <c r="E25" s="254">
        <f>SUM(E26:E33)</f>
        <v>44442236.889999993</v>
      </c>
      <c r="F25" s="753">
        <f>SUM(F26:F33)</f>
        <v>51849250.039999999</v>
      </c>
      <c r="G25" s="236"/>
    </row>
    <row r="26" spans="1:8" s="217" customFormat="1" ht="25.5" x14ac:dyDescent="0.2">
      <c r="A26" s="219" t="s">
        <v>491</v>
      </c>
      <c r="B26" s="297">
        <f>SUM(B27:B29)</f>
        <v>0</v>
      </c>
      <c r="C26" s="745">
        <f>SUM(C27:C29)</f>
        <v>0</v>
      </c>
      <c r="D26" s="245" t="s">
        <v>492</v>
      </c>
      <c r="E26" s="255">
        <f>769290.56+0.77</f>
        <v>769291.33000000007</v>
      </c>
      <c r="F26" s="754">
        <f>1144061.21+0.77</f>
        <v>1144061.98</v>
      </c>
      <c r="G26" s="236"/>
    </row>
    <row r="27" spans="1:8" s="217" customFormat="1" ht="18.75" customHeight="1" x14ac:dyDescent="0.2">
      <c r="A27" s="224" t="s">
        <v>493</v>
      </c>
      <c r="B27" s="256">
        <v>0</v>
      </c>
      <c r="C27" s="744">
        <v>0</v>
      </c>
      <c r="D27" s="246" t="s">
        <v>494</v>
      </c>
      <c r="E27" s="255">
        <f>138497</f>
        <v>138497</v>
      </c>
      <c r="F27" s="754">
        <v>176806</v>
      </c>
      <c r="G27" s="236"/>
      <c r="H27" s="236"/>
    </row>
    <row r="28" spans="1:8" s="217" customFormat="1" ht="25.5" customHeight="1" x14ac:dyDescent="0.2">
      <c r="A28" s="224" t="s">
        <v>495</v>
      </c>
      <c r="B28" s="256">
        <v>0</v>
      </c>
      <c r="C28" s="744">
        <v>0</v>
      </c>
      <c r="D28" s="247" t="s">
        <v>496</v>
      </c>
      <c r="E28" s="255">
        <f>928447.6</f>
        <v>928447.6</v>
      </c>
      <c r="F28" s="754">
        <v>1084221.55</v>
      </c>
      <c r="G28" s="236"/>
    </row>
    <row r="29" spans="1:8" s="217" customFormat="1" ht="25.5" x14ac:dyDescent="0.2">
      <c r="A29" s="224" t="s">
        <v>497</v>
      </c>
      <c r="B29" s="256">
        <v>0</v>
      </c>
      <c r="C29" s="744">
        <v>0</v>
      </c>
      <c r="D29" s="248" t="s">
        <v>498</v>
      </c>
      <c r="E29" s="255">
        <v>1587371.28</v>
      </c>
      <c r="F29" s="754">
        <v>1841029.48</v>
      </c>
      <c r="G29" s="236"/>
    </row>
    <row r="30" spans="1:8" s="217" customFormat="1" ht="22.5" customHeight="1" x14ac:dyDescent="0.2">
      <c r="A30" s="225" t="s">
        <v>499</v>
      </c>
      <c r="B30" s="289">
        <v>0</v>
      </c>
      <c r="C30" s="741">
        <v>0</v>
      </c>
      <c r="D30" s="248" t="s">
        <v>500</v>
      </c>
      <c r="E30" s="255">
        <f>2624.26+6332.8+342015.16+272558+957987.62+205+29370+235.19+4.96+237.79+37373.93+376752.54+12437.39+2265306.57+8537830.35</f>
        <v>12841271.559999999</v>
      </c>
      <c r="F30" s="754">
        <f>288577.33+5132.92+64778.39+1350610.23+390360+8361433.51</f>
        <v>10460892.379999999</v>
      </c>
      <c r="G30" s="236"/>
    </row>
    <row r="31" spans="1:8" s="217" customFormat="1" ht="25.5" x14ac:dyDescent="0.2">
      <c r="A31" s="220" t="s">
        <v>501</v>
      </c>
      <c r="B31" s="298">
        <v>0</v>
      </c>
      <c r="C31" s="746">
        <v>0</v>
      </c>
      <c r="D31" s="249" t="s">
        <v>502</v>
      </c>
      <c r="E31" s="255">
        <f>275536.82+16573.04+25+27869584.5</f>
        <v>28161719.359999999</v>
      </c>
      <c r="F31" s="754">
        <f>37131354.65</f>
        <v>37131354.649999999</v>
      </c>
      <c r="G31" s="236"/>
      <c r="H31" s="236"/>
    </row>
    <row r="32" spans="1:8" s="217" customFormat="1" ht="24" x14ac:dyDescent="0.2">
      <c r="A32" s="226" t="s">
        <v>503</v>
      </c>
      <c r="B32" s="299">
        <f>B33+B38+B44+B52</f>
        <v>42901100.350000009</v>
      </c>
      <c r="C32" s="747">
        <f>C33+C38+C44+C52</f>
        <v>48474821.300000004</v>
      </c>
      <c r="D32" s="247" t="s">
        <v>504</v>
      </c>
      <c r="E32" s="255">
        <f>13597.38+2041.38</f>
        <v>15638.759999999998</v>
      </c>
      <c r="F32" s="754">
        <v>10884</v>
      </c>
      <c r="G32" s="236"/>
    </row>
    <row r="33" spans="1:9" s="217" customFormat="1" ht="27.75" customHeight="1" x14ac:dyDescent="0.2">
      <c r="A33" s="227" t="s">
        <v>505</v>
      </c>
      <c r="B33" s="300">
        <f>SUM(B34:B37)</f>
        <v>77614.570000000007</v>
      </c>
      <c r="C33" s="748">
        <f>SUM(C34:C37)</f>
        <v>38082.15</v>
      </c>
      <c r="D33" s="248" t="s">
        <v>506</v>
      </c>
      <c r="E33" s="258">
        <v>0</v>
      </c>
      <c r="F33" s="755">
        <v>0</v>
      </c>
      <c r="G33" s="236"/>
    </row>
    <row r="34" spans="1:9" s="217" customFormat="1" ht="30" customHeight="1" x14ac:dyDescent="0.2">
      <c r="A34" s="228" t="s">
        <v>507</v>
      </c>
      <c r="B34" s="256">
        <v>77614.570000000007</v>
      </c>
      <c r="C34" s="744">
        <v>38082.15</v>
      </c>
      <c r="D34" s="248" t="s">
        <v>508</v>
      </c>
      <c r="E34" s="255">
        <v>0</v>
      </c>
      <c r="F34" s="754">
        <v>0</v>
      </c>
      <c r="G34" s="236"/>
    </row>
    <row r="35" spans="1:9" s="217" customFormat="1" ht="18" customHeight="1" x14ac:dyDescent="0.2">
      <c r="A35" s="229" t="s">
        <v>509</v>
      </c>
      <c r="B35" s="256">
        <v>0</v>
      </c>
      <c r="C35" s="744">
        <v>0</v>
      </c>
      <c r="D35" s="248" t="s">
        <v>510</v>
      </c>
      <c r="E35" s="255">
        <v>0</v>
      </c>
      <c r="F35" s="754">
        <v>0</v>
      </c>
      <c r="G35" s="236"/>
    </row>
    <row r="36" spans="1:9" s="217" customFormat="1" ht="29.25" customHeight="1" x14ac:dyDescent="0.2">
      <c r="A36" s="230" t="s">
        <v>511</v>
      </c>
      <c r="B36" s="256">
        <v>0</v>
      </c>
      <c r="C36" s="744">
        <v>0</v>
      </c>
      <c r="D36" s="301" t="s">
        <v>512</v>
      </c>
      <c r="E36" s="254">
        <v>4750664.9800000004</v>
      </c>
      <c r="F36" s="753">
        <v>4351209.5</v>
      </c>
      <c r="G36" s="236"/>
    </row>
    <row r="37" spans="1:9" s="217" customFormat="1" ht="18" customHeight="1" x14ac:dyDescent="0.2">
      <c r="A37" s="231" t="s">
        <v>513</v>
      </c>
      <c r="B37" s="256">
        <v>0</v>
      </c>
      <c r="C37" s="744">
        <v>0</v>
      </c>
      <c r="D37" s="301" t="s">
        <v>514</v>
      </c>
      <c r="E37" s="259">
        <f>E38+E39</f>
        <v>2859485.55</v>
      </c>
      <c r="F37" s="756">
        <f>F38+F39</f>
        <v>3222192</v>
      </c>
      <c r="G37" s="236"/>
    </row>
    <row r="38" spans="1:9" s="217" customFormat="1" ht="24" x14ac:dyDescent="0.2">
      <c r="A38" s="232" t="s">
        <v>515</v>
      </c>
      <c r="B38" s="302">
        <f>SUM(B39:B43)</f>
        <v>14583302.800000006</v>
      </c>
      <c r="C38" s="749">
        <f>SUM(C39:C43)</f>
        <v>11201763.76</v>
      </c>
      <c r="D38" s="301" t="s">
        <v>516</v>
      </c>
      <c r="E38" s="254">
        <f>24922.96+2834562.59</f>
        <v>2859485.55</v>
      </c>
      <c r="F38" s="753">
        <v>3222192</v>
      </c>
      <c r="G38" s="236"/>
    </row>
    <row r="39" spans="1:9" s="217" customFormat="1" ht="18.75" customHeight="1" x14ac:dyDescent="0.2">
      <c r="A39" s="231" t="s">
        <v>517</v>
      </c>
      <c r="B39" s="256">
        <f>39.04+343774.46-343774.46+305735.44-305735.44</f>
        <v>39.039999999979045</v>
      </c>
      <c r="C39" s="744">
        <f>2833.58+422773.47-422773.47</f>
        <v>2833.5800000000163</v>
      </c>
      <c r="D39" s="301" t="s">
        <v>518</v>
      </c>
      <c r="E39" s="260">
        <v>0</v>
      </c>
      <c r="F39" s="757">
        <v>0</v>
      </c>
      <c r="G39" s="236"/>
    </row>
    <row r="40" spans="1:9" s="217" customFormat="1" ht="18.75" customHeight="1" x14ac:dyDescent="0.2">
      <c r="A40" s="231" t="s">
        <v>519</v>
      </c>
      <c r="B40" s="256">
        <f>12121.76+50443.99</f>
        <v>62565.75</v>
      </c>
      <c r="C40" s="744">
        <f>40676.02</f>
        <v>40676.019999999997</v>
      </c>
      <c r="D40" s="303"/>
      <c r="E40" s="304"/>
      <c r="F40" s="304"/>
      <c r="G40" s="236"/>
    </row>
    <row r="41" spans="1:9" s="217" customFormat="1" ht="24" x14ac:dyDescent="0.2">
      <c r="A41" s="231" t="s">
        <v>520</v>
      </c>
      <c r="B41" s="256"/>
      <c r="C41" s="744">
        <v>0</v>
      </c>
      <c r="D41" s="303"/>
      <c r="E41" s="304"/>
      <c r="F41" s="304"/>
      <c r="G41" s="236"/>
      <c r="I41" s="441"/>
    </row>
    <row r="42" spans="1:9" s="217" customFormat="1" ht="19.5" customHeight="1" x14ac:dyDescent="0.2">
      <c r="A42" s="231" t="s">
        <v>521</v>
      </c>
      <c r="B42" s="256">
        <f>42433035.07+109910.13+194.59+324553+470357.28+10916025.3+282274.36-64902.78-8860290.31-149855.76-638.23+14989.21+6622623.16-17357532.2-20220053.98</f>
        <v>14520688.840000007</v>
      </c>
      <c r="C42" s="744">
        <f>9513.96+269766.33+20200+54220.18+9021780.66+638.23-10193.39-8975729.75-638.23+10768696.17</f>
        <v>11158254.16</v>
      </c>
      <c r="D42" s="303"/>
      <c r="E42" s="304"/>
      <c r="F42" s="304"/>
      <c r="G42" s="236"/>
      <c r="I42" s="441"/>
    </row>
    <row r="43" spans="1:9" s="217" customFormat="1" ht="24" x14ac:dyDescent="0.2">
      <c r="A43" s="231" t="s">
        <v>522</v>
      </c>
      <c r="B43" s="256">
        <v>9.17</v>
      </c>
      <c r="C43" s="744">
        <v>0</v>
      </c>
      <c r="D43" s="303"/>
      <c r="E43" s="304"/>
      <c r="F43" s="304"/>
      <c r="G43" s="236"/>
      <c r="H43" s="236"/>
      <c r="I43" s="441"/>
    </row>
    <row r="44" spans="1:9" s="217" customFormat="1" ht="18" customHeight="1" x14ac:dyDescent="0.2">
      <c r="A44" s="233" t="s">
        <v>523</v>
      </c>
      <c r="B44" s="261">
        <f>SUM(B45:B51)</f>
        <v>28233376.099999998</v>
      </c>
      <c r="C44" s="750">
        <f>SUM(C45:C51)</f>
        <v>37194777.539999999</v>
      </c>
      <c r="D44" s="305"/>
      <c r="E44" s="260"/>
      <c r="F44" s="260"/>
      <c r="G44" s="236"/>
    </row>
    <row r="45" spans="1:9" s="217" customFormat="1" ht="18.75" customHeight="1" x14ac:dyDescent="0.2">
      <c r="A45" s="231" t="s">
        <v>524</v>
      </c>
      <c r="B45" s="256">
        <v>0</v>
      </c>
      <c r="C45" s="744">
        <v>0</v>
      </c>
      <c r="D45" s="249"/>
      <c r="E45" s="306"/>
      <c r="F45" s="306"/>
      <c r="G45" s="236"/>
    </row>
    <row r="46" spans="1:9" s="217" customFormat="1" ht="25.5" customHeight="1" x14ac:dyDescent="0.2">
      <c r="A46" s="231" t="s">
        <v>525</v>
      </c>
      <c r="B46" s="256">
        <f>8707.88+17462.16+2041.38+14075.32</f>
        <v>42286.740000000005</v>
      </c>
      <c r="C46" s="744">
        <f>18811+26056.86+4.96+0.07</f>
        <v>44872.89</v>
      </c>
      <c r="D46" s="249"/>
      <c r="E46" s="306"/>
      <c r="F46" s="306"/>
      <c r="G46" s="236"/>
    </row>
    <row r="47" spans="1:9" s="217" customFormat="1" ht="25.5" customHeight="1" x14ac:dyDescent="0.2">
      <c r="A47" s="231" t="s">
        <v>526</v>
      </c>
      <c r="B47" s="256"/>
      <c r="C47" s="744">
        <v>0</v>
      </c>
      <c r="D47" s="249"/>
      <c r="E47" s="306"/>
      <c r="F47" s="306"/>
      <c r="G47" s="236"/>
    </row>
    <row r="48" spans="1:9" s="217" customFormat="1" ht="18.75" customHeight="1" x14ac:dyDescent="0.2">
      <c r="A48" s="231" t="s">
        <v>527</v>
      </c>
      <c r="B48" s="256">
        <f>28161719.36+29370</f>
        <v>28191089.359999999</v>
      </c>
      <c r="C48" s="744">
        <f>37131354.65+18550</f>
        <v>37149904.649999999</v>
      </c>
      <c r="D48" s="249"/>
      <c r="E48" s="306"/>
      <c r="F48" s="306"/>
      <c r="G48" s="236"/>
    </row>
    <row r="49" spans="1:10" s="217" customFormat="1" ht="18.75" customHeight="1" x14ac:dyDescent="0.2">
      <c r="A49" s="231" t="s">
        <v>528</v>
      </c>
      <c r="B49" s="257">
        <v>0</v>
      </c>
      <c r="C49" s="751">
        <v>0</v>
      </c>
      <c r="D49" s="249"/>
      <c r="E49" s="306"/>
      <c r="F49" s="306"/>
      <c r="G49" s="236"/>
    </row>
    <row r="50" spans="1:10" s="234" customFormat="1" ht="18.75" customHeight="1" x14ac:dyDescent="0.2">
      <c r="A50" s="231" t="s">
        <v>529</v>
      </c>
      <c r="B50" s="256">
        <v>0</v>
      </c>
      <c r="C50" s="744">
        <v>0</v>
      </c>
      <c r="D50" s="249"/>
      <c r="E50" s="306"/>
      <c r="F50" s="306"/>
      <c r="G50" s="262"/>
    </row>
    <row r="51" spans="1:10" s="234" customFormat="1" ht="18.75" customHeight="1" x14ac:dyDescent="0.2">
      <c r="A51" s="231" t="s">
        <v>530</v>
      </c>
      <c r="B51" s="256">
        <v>0</v>
      </c>
      <c r="C51" s="744">
        <v>0</v>
      </c>
      <c r="D51" s="248"/>
      <c r="E51" s="307"/>
      <c r="F51" s="307"/>
      <c r="G51" s="262"/>
    </row>
    <row r="52" spans="1:10" s="217" customFormat="1" ht="20.25" customHeight="1" thickBot="1" x14ac:dyDescent="0.25">
      <c r="A52" s="232" t="s">
        <v>531</v>
      </c>
      <c r="B52" s="289">
        <v>6806.88</v>
      </c>
      <c r="C52" s="741">
        <v>40197.85</v>
      </c>
      <c r="D52" s="308"/>
      <c r="E52" s="309"/>
      <c r="F52" s="309"/>
      <c r="G52" s="236"/>
      <c r="I52" s="236"/>
      <c r="J52" s="236"/>
    </row>
    <row r="53" spans="1:10" s="217" customFormat="1" ht="26.25" customHeight="1" thickBot="1" x14ac:dyDescent="0.25">
      <c r="A53" s="235" t="s">
        <v>532</v>
      </c>
      <c r="B53" s="250">
        <f>B13+B32</f>
        <v>821106841.90000021</v>
      </c>
      <c r="C53" s="250">
        <f>C13+C32</f>
        <v>894154170.30999994</v>
      </c>
      <c r="D53" s="251" t="s">
        <v>533</v>
      </c>
      <c r="E53" s="284">
        <f>E13+E20+E21+E23</f>
        <v>821106841.89999998</v>
      </c>
      <c r="F53" s="252">
        <f>F13+F20+F21+F23</f>
        <v>894324579.5</v>
      </c>
      <c r="G53" s="236"/>
      <c r="H53" s="236"/>
      <c r="J53" s="236"/>
    </row>
    <row r="54" spans="1:10" s="238" customFormat="1" ht="15.75" customHeight="1" x14ac:dyDescent="0.2">
      <c r="A54" s="237"/>
      <c r="B54" s="273"/>
      <c r="C54" s="237"/>
      <c r="D54" s="237"/>
      <c r="E54" s="273"/>
      <c r="F54" s="237"/>
      <c r="G54" s="263"/>
    </row>
    <row r="55" spans="1:10" s="238" customFormat="1" ht="106.5" customHeight="1" x14ac:dyDescent="0.2">
      <c r="A55" s="239"/>
      <c r="B55" s="274"/>
      <c r="C55" s="240"/>
      <c r="D55" s="241"/>
      <c r="E55" s="285"/>
      <c r="F55" s="239"/>
      <c r="G55" s="263"/>
    </row>
    <row r="56" spans="1:10" ht="15" customHeight="1" x14ac:dyDescent="0.2">
      <c r="A56" s="242" t="s">
        <v>534</v>
      </c>
      <c r="B56" s="275"/>
      <c r="C56" s="310" t="s">
        <v>332</v>
      </c>
      <c r="D56" s="197"/>
      <c r="E56" s="774" t="s">
        <v>535</v>
      </c>
      <c r="F56" s="775"/>
    </row>
    <row r="57" spans="1:10" ht="15.75" customHeight="1" x14ac:dyDescent="0.2">
      <c r="C57" s="197"/>
      <c r="D57" s="197"/>
      <c r="F57" s="197"/>
    </row>
    <row r="58" spans="1:10" ht="16.5" customHeight="1" x14ac:dyDescent="0.2">
      <c r="C58" s="197"/>
      <c r="D58" s="197"/>
      <c r="F58" s="197"/>
    </row>
    <row r="59" spans="1:10" ht="16.5" customHeight="1" x14ac:dyDescent="0.2">
      <c r="C59" s="197"/>
      <c r="D59" s="197"/>
      <c r="F59" s="197"/>
    </row>
    <row r="60" spans="1:10" ht="25.5" customHeight="1" x14ac:dyDescent="0.2">
      <c r="C60" s="197"/>
      <c r="D60" s="197"/>
      <c r="F60" s="197"/>
    </row>
    <row r="61" spans="1:10" x14ac:dyDescent="0.2">
      <c r="C61" s="197"/>
      <c r="D61" s="197"/>
      <c r="F61" s="197"/>
    </row>
    <row r="62" spans="1:10" x14ac:dyDescent="0.2">
      <c r="C62" s="197"/>
      <c r="D62" s="197"/>
      <c r="F62" s="197"/>
    </row>
    <row r="63" spans="1:10" x14ac:dyDescent="0.2">
      <c r="C63" s="197"/>
      <c r="D63" s="197"/>
      <c r="F63" s="197"/>
    </row>
    <row r="64" spans="1:10" x14ac:dyDescent="0.2">
      <c r="C64" s="197"/>
      <c r="D64" s="197"/>
      <c r="F64" s="197"/>
    </row>
    <row r="65" spans="1:9" x14ac:dyDescent="0.2">
      <c r="A65" s="242"/>
      <c r="B65" s="275"/>
      <c r="C65" s="243"/>
      <c r="D65" s="197"/>
      <c r="E65" s="774"/>
      <c r="F65" s="774"/>
    </row>
    <row r="67" spans="1:9" x14ac:dyDescent="0.2">
      <c r="C67" s="197"/>
      <c r="D67" s="197"/>
      <c r="F67" s="197"/>
    </row>
    <row r="68" spans="1:9" x14ac:dyDescent="0.2">
      <c r="C68" s="197"/>
      <c r="D68" s="197"/>
      <c r="F68" s="197"/>
    </row>
    <row r="69" spans="1:9" x14ac:dyDescent="0.2">
      <c r="C69" s="197"/>
      <c r="D69" s="197"/>
      <c r="F69" s="197"/>
    </row>
    <row r="70" spans="1:9" x14ac:dyDescent="0.2">
      <c r="C70" s="197"/>
      <c r="D70" s="197"/>
      <c r="F70" s="197"/>
    </row>
    <row r="71" spans="1:9" x14ac:dyDescent="0.2">
      <c r="C71" s="197"/>
      <c r="D71" s="197"/>
      <c r="F71" s="197"/>
    </row>
    <row r="72" spans="1:9" x14ac:dyDescent="0.2">
      <c r="C72" s="197"/>
      <c r="D72" s="197"/>
      <c r="F72" s="197"/>
    </row>
    <row r="73" spans="1:9" x14ac:dyDescent="0.2">
      <c r="C73" s="197"/>
      <c r="D73" s="197"/>
      <c r="F73" s="197"/>
    </row>
    <row r="74" spans="1:9" x14ac:dyDescent="0.2">
      <c r="C74" s="197"/>
      <c r="D74" s="197"/>
      <c r="F74" s="197"/>
    </row>
    <row r="75" spans="1:9" x14ac:dyDescent="0.2">
      <c r="C75" s="197"/>
      <c r="D75" s="197"/>
      <c r="F75" s="197"/>
      <c r="I75" s="244"/>
    </row>
    <row r="76" spans="1:9" x14ac:dyDescent="0.2">
      <c r="C76" s="197"/>
      <c r="D76" s="197"/>
      <c r="F76" s="197"/>
      <c r="I76" s="244"/>
    </row>
    <row r="77" spans="1:9" x14ac:dyDescent="0.2">
      <c r="C77" s="197"/>
      <c r="D77" s="197"/>
      <c r="F77" s="197"/>
      <c r="I77" s="244"/>
    </row>
    <row r="78" spans="1:9" x14ac:dyDescent="0.2">
      <c r="C78" s="197"/>
      <c r="D78" s="197"/>
      <c r="F78" s="197"/>
      <c r="I78" s="244"/>
    </row>
    <row r="79" spans="1:9" x14ac:dyDescent="0.2">
      <c r="C79" s="197"/>
      <c r="D79" s="197"/>
      <c r="F79" s="197"/>
      <c r="I79" s="244"/>
    </row>
    <row r="80" spans="1:9" x14ac:dyDescent="0.2">
      <c r="C80" s="197"/>
      <c r="D80" s="197"/>
      <c r="F80" s="197"/>
    </row>
    <row r="81" spans="3:6" x14ac:dyDescent="0.2">
      <c r="C81" s="197"/>
      <c r="D81" s="197"/>
      <c r="F81" s="197"/>
    </row>
    <row r="82" spans="3:6" x14ac:dyDescent="0.2">
      <c r="C82" s="197"/>
      <c r="D82" s="197"/>
      <c r="F82" s="197"/>
    </row>
    <row r="83" spans="3:6" x14ac:dyDescent="0.2">
      <c r="C83" s="197"/>
      <c r="D83" s="197"/>
      <c r="F83" s="197"/>
    </row>
    <row r="84" spans="3:6" x14ac:dyDescent="0.2">
      <c r="C84" s="197"/>
      <c r="D84" s="197"/>
      <c r="F84" s="197"/>
    </row>
    <row r="85" spans="3:6" x14ac:dyDescent="0.2">
      <c r="C85" s="197"/>
      <c r="D85" s="197"/>
      <c r="F85" s="197"/>
    </row>
    <row r="86" spans="3:6" x14ac:dyDescent="0.2">
      <c r="C86" s="197"/>
      <c r="D86" s="197"/>
      <c r="F86" s="197"/>
    </row>
    <row r="87" spans="3:6" x14ac:dyDescent="0.2">
      <c r="C87" s="197"/>
      <c r="D87" s="197"/>
      <c r="F87" s="197"/>
    </row>
    <row r="88" spans="3:6" x14ac:dyDescent="0.2">
      <c r="C88" s="197"/>
      <c r="D88" s="197"/>
      <c r="F88" s="197"/>
    </row>
    <row r="89" spans="3:6" x14ac:dyDescent="0.2">
      <c r="C89" s="197"/>
      <c r="D89" s="197"/>
      <c r="F89" s="197"/>
    </row>
    <row r="90" spans="3:6" x14ac:dyDescent="0.2">
      <c r="C90" s="197"/>
      <c r="D90" s="197"/>
      <c r="F90" s="197"/>
    </row>
    <row r="91" spans="3:6" x14ac:dyDescent="0.2">
      <c r="C91" s="197"/>
      <c r="D91" s="197"/>
      <c r="F91" s="197"/>
    </row>
    <row r="92" spans="3:6" x14ac:dyDescent="0.2">
      <c r="C92" s="197"/>
      <c r="D92" s="197"/>
      <c r="F92" s="197"/>
    </row>
    <row r="93" spans="3:6" x14ac:dyDescent="0.2">
      <c r="C93" s="197"/>
      <c r="D93" s="197"/>
      <c r="F93" s="197"/>
    </row>
    <row r="94" spans="3:6" x14ac:dyDescent="0.2">
      <c r="C94" s="197"/>
      <c r="D94" s="197"/>
      <c r="F94" s="197"/>
    </row>
    <row r="95" spans="3:6" x14ac:dyDescent="0.2">
      <c r="C95" s="197"/>
      <c r="D95" s="197"/>
      <c r="F95" s="197"/>
    </row>
    <row r="96" spans="3:6" x14ac:dyDescent="0.2">
      <c r="C96" s="197"/>
      <c r="D96" s="197"/>
      <c r="F96" s="197"/>
    </row>
    <row r="97" spans="3:6" x14ac:dyDescent="0.2">
      <c r="C97" s="197"/>
      <c r="D97" s="197"/>
      <c r="F97" s="197"/>
    </row>
    <row r="98" spans="3:6" x14ac:dyDescent="0.2">
      <c r="C98" s="197"/>
      <c r="D98" s="197"/>
      <c r="F98" s="197"/>
    </row>
    <row r="99" spans="3:6" x14ac:dyDescent="0.2">
      <c r="C99" s="197"/>
      <c r="D99" s="197"/>
      <c r="F99" s="197"/>
    </row>
    <row r="100" spans="3:6" x14ac:dyDescent="0.2">
      <c r="C100" s="197"/>
      <c r="D100" s="197"/>
      <c r="F100" s="197"/>
    </row>
    <row r="101" spans="3:6" x14ac:dyDescent="0.2">
      <c r="C101" s="197"/>
      <c r="D101" s="197"/>
      <c r="F101" s="197"/>
    </row>
    <row r="102" spans="3:6" x14ac:dyDescent="0.2">
      <c r="C102" s="197"/>
      <c r="D102" s="197"/>
      <c r="F102" s="197"/>
    </row>
    <row r="103" spans="3:6" x14ac:dyDescent="0.2">
      <c r="C103" s="197"/>
      <c r="D103" s="197"/>
      <c r="F103" s="197"/>
    </row>
    <row r="104" spans="3:6" x14ac:dyDescent="0.2">
      <c r="C104" s="197"/>
      <c r="D104" s="197"/>
      <c r="F104" s="197"/>
    </row>
    <row r="105" spans="3:6" x14ac:dyDescent="0.2">
      <c r="C105" s="197"/>
      <c r="D105" s="197"/>
      <c r="F105" s="197"/>
    </row>
    <row r="106" spans="3:6" x14ac:dyDescent="0.2">
      <c r="C106" s="197"/>
      <c r="D106" s="197"/>
      <c r="F106" s="197"/>
    </row>
    <row r="107" spans="3:6" x14ac:dyDescent="0.2">
      <c r="C107" s="197"/>
      <c r="D107" s="197"/>
      <c r="F107" s="197"/>
    </row>
    <row r="108" spans="3:6" x14ac:dyDescent="0.2">
      <c r="C108" s="197"/>
      <c r="D108" s="197"/>
      <c r="F108" s="197"/>
    </row>
    <row r="109" spans="3:6" x14ac:dyDescent="0.2">
      <c r="C109" s="197"/>
      <c r="D109" s="197"/>
      <c r="F109" s="197"/>
    </row>
    <row r="110" spans="3:6" x14ac:dyDescent="0.2">
      <c r="C110" s="197"/>
      <c r="D110" s="197"/>
      <c r="F110" s="197"/>
    </row>
    <row r="111" spans="3:6" x14ac:dyDescent="0.2">
      <c r="C111" s="197"/>
      <c r="D111" s="197"/>
      <c r="F111" s="197"/>
    </row>
    <row r="112" spans="3:6" x14ac:dyDescent="0.2">
      <c r="C112" s="197"/>
      <c r="D112" s="197"/>
      <c r="F112" s="197"/>
    </row>
    <row r="113" spans="3:6" x14ac:dyDescent="0.2">
      <c r="C113" s="197"/>
      <c r="D113" s="197"/>
      <c r="F113" s="197"/>
    </row>
    <row r="114" spans="3:6" x14ac:dyDescent="0.2">
      <c r="C114" s="197"/>
      <c r="D114" s="197"/>
      <c r="F114" s="197"/>
    </row>
    <row r="115" spans="3:6" x14ac:dyDescent="0.2">
      <c r="C115" s="197"/>
      <c r="D115" s="197"/>
      <c r="F115" s="197"/>
    </row>
    <row r="116" spans="3:6" x14ac:dyDescent="0.2">
      <c r="C116" s="197"/>
      <c r="D116" s="197"/>
      <c r="F116" s="197"/>
    </row>
    <row r="117" spans="3:6" x14ac:dyDescent="0.2">
      <c r="C117" s="197"/>
      <c r="D117" s="197"/>
      <c r="F117" s="197"/>
    </row>
    <row r="118" spans="3:6" x14ac:dyDescent="0.2">
      <c r="C118" s="197"/>
      <c r="D118" s="197"/>
      <c r="F118" s="197"/>
    </row>
    <row r="119" spans="3:6" x14ac:dyDescent="0.2">
      <c r="C119" s="197"/>
      <c r="D119" s="197"/>
      <c r="F119" s="197"/>
    </row>
    <row r="120" spans="3:6" x14ac:dyDescent="0.2">
      <c r="C120" s="197"/>
      <c r="D120" s="197"/>
      <c r="F120" s="197"/>
    </row>
    <row r="121" spans="3:6" x14ac:dyDescent="0.2">
      <c r="C121" s="197"/>
      <c r="D121" s="197"/>
      <c r="F121" s="197"/>
    </row>
    <row r="122" spans="3:6" x14ac:dyDescent="0.2">
      <c r="C122" s="197"/>
      <c r="D122" s="197"/>
      <c r="F122" s="197"/>
    </row>
    <row r="123" spans="3:6" x14ac:dyDescent="0.2">
      <c r="C123" s="197"/>
      <c r="D123" s="197"/>
      <c r="F123" s="197"/>
    </row>
    <row r="124" spans="3:6" x14ac:dyDescent="0.2">
      <c r="C124" s="197"/>
      <c r="D124" s="197"/>
      <c r="F124" s="197"/>
    </row>
    <row r="125" spans="3:6" x14ac:dyDescent="0.2">
      <c r="C125" s="197"/>
      <c r="D125" s="197"/>
      <c r="F125" s="197"/>
    </row>
    <row r="126" spans="3:6" x14ac:dyDescent="0.2">
      <c r="C126" s="197"/>
      <c r="D126" s="197"/>
      <c r="F126" s="197"/>
    </row>
    <row r="127" spans="3:6" x14ac:dyDescent="0.2">
      <c r="C127" s="197"/>
      <c r="D127" s="197"/>
      <c r="F127" s="197"/>
    </row>
    <row r="128" spans="3:6" x14ac:dyDescent="0.2">
      <c r="C128" s="197"/>
      <c r="D128" s="197"/>
      <c r="F128" s="197"/>
    </row>
    <row r="129" spans="3:6" x14ac:dyDescent="0.2">
      <c r="C129" s="197"/>
      <c r="D129" s="197"/>
      <c r="F129" s="197"/>
    </row>
    <row r="130" spans="3:6" x14ac:dyDescent="0.2">
      <c r="C130" s="197"/>
      <c r="D130" s="197"/>
      <c r="F130" s="197"/>
    </row>
    <row r="131" spans="3:6" x14ac:dyDescent="0.2">
      <c r="C131" s="197"/>
      <c r="D131" s="197"/>
      <c r="F131" s="197"/>
    </row>
    <row r="132" spans="3:6" x14ac:dyDescent="0.2">
      <c r="C132" s="197"/>
      <c r="D132" s="197"/>
      <c r="F132" s="197"/>
    </row>
    <row r="133" spans="3:6" x14ac:dyDescent="0.2">
      <c r="C133" s="197"/>
      <c r="D133" s="197"/>
      <c r="F133" s="197"/>
    </row>
    <row r="134" spans="3:6" x14ac:dyDescent="0.2">
      <c r="C134" s="197"/>
      <c r="D134" s="197"/>
      <c r="F134" s="197"/>
    </row>
    <row r="135" spans="3:6" x14ac:dyDescent="0.2">
      <c r="C135" s="197"/>
      <c r="D135" s="197"/>
      <c r="F135" s="197"/>
    </row>
    <row r="136" spans="3:6" x14ac:dyDescent="0.2">
      <c r="C136" s="197"/>
      <c r="D136" s="197"/>
      <c r="F136" s="197"/>
    </row>
    <row r="137" spans="3:6" x14ac:dyDescent="0.2">
      <c r="C137" s="197"/>
      <c r="D137" s="197"/>
      <c r="F137" s="197"/>
    </row>
    <row r="138" spans="3:6" x14ac:dyDescent="0.2">
      <c r="C138" s="197"/>
      <c r="D138" s="197"/>
      <c r="F138" s="197"/>
    </row>
    <row r="139" spans="3:6" x14ac:dyDescent="0.2">
      <c r="C139" s="197"/>
      <c r="D139" s="197"/>
      <c r="F139" s="197"/>
    </row>
    <row r="140" spans="3:6" x14ac:dyDescent="0.2">
      <c r="C140" s="197"/>
      <c r="D140" s="197"/>
      <c r="F140" s="197"/>
    </row>
    <row r="141" spans="3:6" x14ac:dyDescent="0.2">
      <c r="C141" s="197"/>
      <c r="D141" s="197"/>
      <c r="F141" s="197"/>
    </row>
    <row r="142" spans="3:6" x14ac:dyDescent="0.2">
      <c r="C142" s="197"/>
      <c r="D142" s="197"/>
      <c r="F142" s="197"/>
    </row>
    <row r="143" spans="3:6" x14ac:dyDescent="0.2">
      <c r="C143" s="197"/>
      <c r="D143" s="197"/>
      <c r="F143" s="197"/>
    </row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W67"/>
  <sheetViews>
    <sheetView topLeftCell="A21" zoomScale="80" zoomScaleNormal="80" workbookViewId="0">
      <selection activeCell="K50" sqref="K50"/>
    </sheetView>
  </sheetViews>
  <sheetFormatPr defaultColWidth="9.140625" defaultRowHeight="12.75" x14ac:dyDescent="0.2"/>
  <cols>
    <col min="1" max="1" width="1.85546875" style="310" customWidth="1"/>
    <col min="2" max="2" width="4.28515625" style="310" customWidth="1"/>
    <col min="3" max="3" width="10.42578125" style="310" customWidth="1"/>
    <col min="4" max="4" width="21.7109375" style="310" customWidth="1"/>
    <col min="5" max="5" width="11.7109375" style="310" bestFit="1" customWidth="1"/>
    <col min="6" max="6" width="8.28515625" style="310" customWidth="1"/>
    <col min="7" max="7" width="2.7109375" style="310" hidden="1" customWidth="1"/>
    <col min="8" max="8" width="0" style="310" hidden="1" customWidth="1"/>
    <col min="9" max="9" width="21.7109375" style="310" customWidth="1"/>
    <col min="10" max="10" width="9.140625" style="310" hidden="1" customWidth="1"/>
    <col min="11" max="11" width="22.85546875" style="310" customWidth="1"/>
    <col min="12" max="12" width="0" style="310" hidden="1" customWidth="1"/>
    <col min="13" max="13" width="15.28515625" style="310" customWidth="1"/>
    <col min="14" max="14" width="17.7109375" style="438" bestFit="1" customWidth="1"/>
    <col min="15" max="15" width="16.28515625" style="310" bestFit="1" customWidth="1"/>
    <col min="16" max="16" width="21" style="310" bestFit="1" customWidth="1"/>
    <col min="17" max="17" width="9.140625" style="310" customWidth="1"/>
    <col min="18" max="18" width="9.140625" style="310"/>
    <col min="19" max="19" width="14.5703125" style="310" customWidth="1"/>
    <col min="20" max="20" width="13" style="310" bestFit="1" customWidth="1"/>
    <col min="21" max="253" width="9.140625" style="310"/>
    <col min="254" max="254" width="1.85546875" style="310" customWidth="1"/>
    <col min="255" max="255" width="4.28515625" style="310" customWidth="1"/>
    <col min="256" max="256" width="10.42578125" style="310" customWidth="1"/>
    <col min="257" max="257" width="21.7109375" style="310" customWidth="1"/>
    <col min="258" max="258" width="11.7109375" style="310" bestFit="1" customWidth="1"/>
    <col min="259" max="259" width="8.28515625" style="310" customWidth="1"/>
    <col min="260" max="261" width="0" style="310" hidden="1" customWidth="1"/>
    <col min="262" max="262" width="21.7109375" style="310" customWidth="1"/>
    <col min="263" max="263" width="0" style="310" hidden="1" customWidth="1"/>
    <col min="264" max="264" width="22.85546875" style="310" customWidth="1"/>
    <col min="265" max="265" width="0" style="310" hidden="1" customWidth="1"/>
    <col min="266" max="266" width="15.28515625" style="310" customWidth="1"/>
    <col min="267" max="267" width="9.140625" style="310"/>
    <col min="268" max="273" width="0" style="310" hidden="1" customWidth="1"/>
    <col min="274" max="509" width="9.140625" style="310"/>
    <col min="510" max="510" width="1.85546875" style="310" customWidth="1"/>
    <col min="511" max="511" width="4.28515625" style="310" customWidth="1"/>
    <col min="512" max="512" width="10.42578125" style="310" customWidth="1"/>
    <col min="513" max="513" width="21.7109375" style="310" customWidth="1"/>
    <col min="514" max="514" width="11.7109375" style="310" bestFit="1" customWidth="1"/>
    <col min="515" max="515" width="8.28515625" style="310" customWidth="1"/>
    <col min="516" max="517" width="0" style="310" hidden="1" customWidth="1"/>
    <col min="518" max="518" width="21.7109375" style="310" customWidth="1"/>
    <col min="519" max="519" width="0" style="310" hidden="1" customWidth="1"/>
    <col min="520" max="520" width="22.85546875" style="310" customWidth="1"/>
    <col min="521" max="521" width="0" style="310" hidden="1" customWidth="1"/>
    <col min="522" max="522" width="15.28515625" style="310" customWidth="1"/>
    <col min="523" max="523" width="9.140625" style="310"/>
    <col min="524" max="529" width="0" style="310" hidden="1" customWidth="1"/>
    <col min="530" max="765" width="9.140625" style="310"/>
    <col min="766" max="766" width="1.85546875" style="310" customWidth="1"/>
    <col min="767" max="767" width="4.28515625" style="310" customWidth="1"/>
    <col min="768" max="768" width="10.42578125" style="310" customWidth="1"/>
    <col min="769" max="769" width="21.7109375" style="310" customWidth="1"/>
    <col min="770" max="770" width="11.7109375" style="310" bestFit="1" customWidth="1"/>
    <col min="771" max="771" width="8.28515625" style="310" customWidth="1"/>
    <col min="772" max="773" width="0" style="310" hidden="1" customWidth="1"/>
    <col min="774" max="774" width="21.7109375" style="310" customWidth="1"/>
    <col min="775" max="775" width="0" style="310" hidden="1" customWidth="1"/>
    <col min="776" max="776" width="22.85546875" style="310" customWidth="1"/>
    <col min="777" max="777" width="0" style="310" hidden="1" customWidth="1"/>
    <col min="778" max="778" width="15.28515625" style="310" customWidth="1"/>
    <col min="779" max="779" width="9.140625" style="310"/>
    <col min="780" max="785" width="0" style="310" hidden="1" customWidth="1"/>
    <col min="786" max="1021" width="9.140625" style="310"/>
    <col min="1022" max="1022" width="1.85546875" style="310" customWidth="1"/>
    <col min="1023" max="1023" width="4.28515625" style="310" customWidth="1"/>
    <col min="1024" max="1024" width="10.42578125" style="310" customWidth="1"/>
    <col min="1025" max="1025" width="21.7109375" style="310" customWidth="1"/>
    <col min="1026" max="1026" width="11.7109375" style="310" bestFit="1" customWidth="1"/>
    <col min="1027" max="1027" width="8.28515625" style="310" customWidth="1"/>
    <col min="1028" max="1029" width="0" style="310" hidden="1" customWidth="1"/>
    <col min="1030" max="1030" width="21.7109375" style="310" customWidth="1"/>
    <col min="1031" max="1031" width="0" style="310" hidden="1" customWidth="1"/>
    <col min="1032" max="1032" width="22.85546875" style="310" customWidth="1"/>
    <col min="1033" max="1033" width="0" style="310" hidden="1" customWidth="1"/>
    <col min="1034" max="1034" width="15.28515625" style="310" customWidth="1"/>
    <col min="1035" max="1035" width="9.140625" style="310"/>
    <col min="1036" max="1041" width="0" style="310" hidden="1" customWidth="1"/>
    <col min="1042" max="1277" width="9.140625" style="310"/>
    <col min="1278" max="1278" width="1.85546875" style="310" customWidth="1"/>
    <col min="1279" max="1279" width="4.28515625" style="310" customWidth="1"/>
    <col min="1280" max="1280" width="10.42578125" style="310" customWidth="1"/>
    <col min="1281" max="1281" width="21.7109375" style="310" customWidth="1"/>
    <col min="1282" max="1282" width="11.7109375" style="310" bestFit="1" customWidth="1"/>
    <col min="1283" max="1283" width="8.28515625" style="310" customWidth="1"/>
    <col min="1284" max="1285" width="0" style="310" hidden="1" customWidth="1"/>
    <col min="1286" max="1286" width="21.7109375" style="310" customWidth="1"/>
    <col min="1287" max="1287" width="0" style="310" hidden="1" customWidth="1"/>
    <col min="1288" max="1288" width="22.85546875" style="310" customWidth="1"/>
    <col min="1289" max="1289" width="0" style="310" hidden="1" customWidth="1"/>
    <col min="1290" max="1290" width="15.28515625" style="310" customWidth="1"/>
    <col min="1291" max="1291" width="9.140625" style="310"/>
    <col min="1292" max="1297" width="0" style="310" hidden="1" customWidth="1"/>
    <col min="1298" max="1533" width="9.140625" style="310"/>
    <col min="1534" max="1534" width="1.85546875" style="310" customWidth="1"/>
    <col min="1535" max="1535" width="4.28515625" style="310" customWidth="1"/>
    <col min="1536" max="1536" width="10.42578125" style="310" customWidth="1"/>
    <col min="1537" max="1537" width="21.7109375" style="310" customWidth="1"/>
    <col min="1538" max="1538" width="11.7109375" style="310" bestFit="1" customWidth="1"/>
    <col min="1539" max="1539" width="8.28515625" style="310" customWidth="1"/>
    <col min="1540" max="1541" width="0" style="310" hidden="1" customWidth="1"/>
    <col min="1542" max="1542" width="21.7109375" style="310" customWidth="1"/>
    <col min="1543" max="1543" width="0" style="310" hidden="1" customWidth="1"/>
    <col min="1544" max="1544" width="22.85546875" style="310" customWidth="1"/>
    <col min="1545" max="1545" width="0" style="310" hidden="1" customWidth="1"/>
    <col min="1546" max="1546" width="15.28515625" style="310" customWidth="1"/>
    <col min="1547" max="1547" width="9.140625" style="310"/>
    <col min="1548" max="1553" width="0" style="310" hidden="1" customWidth="1"/>
    <col min="1554" max="1789" width="9.140625" style="310"/>
    <col min="1790" max="1790" width="1.85546875" style="310" customWidth="1"/>
    <col min="1791" max="1791" width="4.28515625" style="310" customWidth="1"/>
    <col min="1792" max="1792" width="10.42578125" style="310" customWidth="1"/>
    <col min="1793" max="1793" width="21.7109375" style="310" customWidth="1"/>
    <col min="1794" max="1794" width="11.7109375" style="310" bestFit="1" customWidth="1"/>
    <col min="1795" max="1795" width="8.28515625" style="310" customWidth="1"/>
    <col min="1796" max="1797" width="0" style="310" hidden="1" customWidth="1"/>
    <col min="1798" max="1798" width="21.7109375" style="310" customWidth="1"/>
    <col min="1799" max="1799" width="0" style="310" hidden="1" customWidth="1"/>
    <col min="1800" max="1800" width="22.85546875" style="310" customWidth="1"/>
    <col min="1801" max="1801" width="0" style="310" hidden="1" customWidth="1"/>
    <col min="1802" max="1802" width="15.28515625" style="310" customWidth="1"/>
    <col min="1803" max="1803" width="9.140625" style="310"/>
    <col min="1804" max="1809" width="0" style="310" hidden="1" customWidth="1"/>
    <col min="1810" max="2045" width="9.140625" style="310"/>
    <col min="2046" max="2046" width="1.85546875" style="310" customWidth="1"/>
    <col min="2047" max="2047" width="4.28515625" style="310" customWidth="1"/>
    <col min="2048" max="2048" width="10.42578125" style="310" customWidth="1"/>
    <col min="2049" max="2049" width="21.7109375" style="310" customWidth="1"/>
    <col min="2050" max="2050" width="11.7109375" style="310" bestFit="1" customWidth="1"/>
    <col min="2051" max="2051" width="8.28515625" style="310" customWidth="1"/>
    <col min="2052" max="2053" width="0" style="310" hidden="1" customWidth="1"/>
    <col min="2054" max="2054" width="21.7109375" style="310" customWidth="1"/>
    <col min="2055" max="2055" width="0" style="310" hidden="1" customWidth="1"/>
    <col min="2056" max="2056" width="22.85546875" style="310" customWidth="1"/>
    <col min="2057" max="2057" width="0" style="310" hidden="1" customWidth="1"/>
    <col min="2058" max="2058" width="15.28515625" style="310" customWidth="1"/>
    <col min="2059" max="2059" width="9.140625" style="310"/>
    <col min="2060" max="2065" width="0" style="310" hidden="1" customWidth="1"/>
    <col min="2066" max="2301" width="9.140625" style="310"/>
    <col min="2302" max="2302" width="1.85546875" style="310" customWidth="1"/>
    <col min="2303" max="2303" width="4.28515625" style="310" customWidth="1"/>
    <col min="2304" max="2304" width="10.42578125" style="310" customWidth="1"/>
    <col min="2305" max="2305" width="21.7109375" style="310" customWidth="1"/>
    <col min="2306" max="2306" width="11.7109375" style="310" bestFit="1" customWidth="1"/>
    <col min="2307" max="2307" width="8.28515625" style="310" customWidth="1"/>
    <col min="2308" max="2309" width="0" style="310" hidden="1" customWidth="1"/>
    <col min="2310" max="2310" width="21.7109375" style="310" customWidth="1"/>
    <col min="2311" max="2311" width="0" style="310" hidden="1" customWidth="1"/>
    <col min="2312" max="2312" width="22.85546875" style="310" customWidth="1"/>
    <col min="2313" max="2313" width="0" style="310" hidden="1" customWidth="1"/>
    <col min="2314" max="2314" width="15.28515625" style="310" customWidth="1"/>
    <col min="2315" max="2315" width="9.140625" style="310"/>
    <col min="2316" max="2321" width="0" style="310" hidden="1" customWidth="1"/>
    <col min="2322" max="2557" width="9.140625" style="310"/>
    <col min="2558" max="2558" width="1.85546875" style="310" customWidth="1"/>
    <col min="2559" max="2559" width="4.28515625" style="310" customWidth="1"/>
    <col min="2560" max="2560" width="10.42578125" style="310" customWidth="1"/>
    <col min="2561" max="2561" width="21.7109375" style="310" customWidth="1"/>
    <col min="2562" max="2562" width="11.7109375" style="310" bestFit="1" customWidth="1"/>
    <col min="2563" max="2563" width="8.28515625" style="310" customWidth="1"/>
    <col min="2564" max="2565" width="0" style="310" hidden="1" customWidth="1"/>
    <col min="2566" max="2566" width="21.7109375" style="310" customWidth="1"/>
    <col min="2567" max="2567" width="0" style="310" hidden="1" customWidth="1"/>
    <col min="2568" max="2568" width="22.85546875" style="310" customWidth="1"/>
    <col min="2569" max="2569" width="0" style="310" hidden="1" customWidth="1"/>
    <col min="2570" max="2570" width="15.28515625" style="310" customWidth="1"/>
    <col min="2571" max="2571" width="9.140625" style="310"/>
    <col min="2572" max="2577" width="0" style="310" hidden="1" customWidth="1"/>
    <col min="2578" max="2813" width="9.140625" style="310"/>
    <col min="2814" max="2814" width="1.85546875" style="310" customWidth="1"/>
    <col min="2815" max="2815" width="4.28515625" style="310" customWidth="1"/>
    <col min="2816" max="2816" width="10.42578125" style="310" customWidth="1"/>
    <col min="2817" max="2817" width="21.7109375" style="310" customWidth="1"/>
    <col min="2818" max="2818" width="11.7109375" style="310" bestFit="1" customWidth="1"/>
    <col min="2819" max="2819" width="8.28515625" style="310" customWidth="1"/>
    <col min="2820" max="2821" width="0" style="310" hidden="1" customWidth="1"/>
    <col min="2822" max="2822" width="21.7109375" style="310" customWidth="1"/>
    <col min="2823" max="2823" width="0" style="310" hidden="1" customWidth="1"/>
    <col min="2824" max="2824" width="22.85546875" style="310" customWidth="1"/>
    <col min="2825" max="2825" width="0" style="310" hidden="1" customWidth="1"/>
    <col min="2826" max="2826" width="15.28515625" style="310" customWidth="1"/>
    <col min="2827" max="2827" width="9.140625" style="310"/>
    <col min="2828" max="2833" width="0" style="310" hidden="1" customWidth="1"/>
    <col min="2834" max="3069" width="9.140625" style="310"/>
    <col min="3070" max="3070" width="1.85546875" style="310" customWidth="1"/>
    <col min="3071" max="3071" width="4.28515625" style="310" customWidth="1"/>
    <col min="3072" max="3072" width="10.42578125" style="310" customWidth="1"/>
    <col min="3073" max="3073" width="21.7109375" style="310" customWidth="1"/>
    <col min="3074" max="3074" width="11.7109375" style="310" bestFit="1" customWidth="1"/>
    <col min="3075" max="3075" width="8.28515625" style="310" customWidth="1"/>
    <col min="3076" max="3077" width="0" style="310" hidden="1" customWidth="1"/>
    <col min="3078" max="3078" width="21.7109375" style="310" customWidth="1"/>
    <col min="3079" max="3079" width="0" style="310" hidden="1" customWidth="1"/>
    <col min="3080" max="3080" width="22.85546875" style="310" customWidth="1"/>
    <col min="3081" max="3081" width="0" style="310" hidden="1" customWidth="1"/>
    <col min="3082" max="3082" width="15.28515625" style="310" customWidth="1"/>
    <col min="3083" max="3083" width="9.140625" style="310"/>
    <col min="3084" max="3089" width="0" style="310" hidden="1" customWidth="1"/>
    <col min="3090" max="3325" width="9.140625" style="310"/>
    <col min="3326" max="3326" width="1.85546875" style="310" customWidth="1"/>
    <col min="3327" max="3327" width="4.28515625" style="310" customWidth="1"/>
    <col min="3328" max="3328" width="10.42578125" style="310" customWidth="1"/>
    <col min="3329" max="3329" width="21.7109375" style="310" customWidth="1"/>
    <col min="3330" max="3330" width="11.7109375" style="310" bestFit="1" customWidth="1"/>
    <col min="3331" max="3331" width="8.28515625" style="310" customWidth="1"/>
    <col min="3332" max="3333" width="0" style="310" hidden="1" customWidth="1"/>
    <col min="3334" max="3334" width="21.7109375" style="310" customWidth="1"/>
    <col min="3335" max="3335" width="0" style="310" hidden="1" customWidth="1"/>
    <col min="3336" max="3336" width="22.85546875" style="310" customWidth="1"/>
    <col min="3337" max="3337" width="0" style="310" hidden="1" customWidth="1"/>
    <col min="3338" max="3338" width="15.28515625" style="310" customWidth="1"/>
    <col min="3339" max="3339" width="9.140625" style="310"/>
    <col min="3340" max="3345" width="0" style="310" hidden="1" customWidth="1"/>
    <col min="3346" max="3581" width="9.140625" style="310"/>
    <col min="3582" max="3582" width="1.85546875" style="310" customWidth="1"/>
    <col min="3583" max="3583" width="4.28515625" style="310" customWidth="1"/>
    <col min="3584" max="3584" width="10.42578125" style="310" customWidth="1"/>
    <col min="3585" max="3585" width="21.7109375" style="310" customWidth="1"/>
    <col min="3586" max="3586" width="11.7109375" style="310" bestFit="1" customWidth="1"/>
    <col min="3587" max="3587" width="8.28515625" style="310" customWidth="1"/>
    <col min="3588" max="3589" width="0" style="310" hidden="1" customWidth="1"/>
    <col min="3590" max="3590" width="21.7109375" style="310" customWidth="1"/>
    <col min="3591" max="3591" width="0" style="310" hidden="1" customWidth="1"/>
    <col min="3592" max="3592" width="22.85546875" style="310" customWidth="1"/>
    <col min="3593" max="3593" width="0" style="310" hidden="1" customWidth="1"/>
    <col min="3594" max="3594" width="15.28515625" style="310" customWidth="1"/>
    <col min="3595" max="3595" width="9.140625" style="310"/>
    <col min="3596" max="3601" width="0" style="310" hidden="1" customWidth="1"/>
    <col min="3602" max="3837" width="9.140625" style="310"/>
    <col min="3838" max="3838" width="1.85546875" style="310" customWidth="1"/>
    <col min="3839" max="3839" width="4.28515625" style="310" customWidth="1"/>
    <col min="3840" max="3840" width="10.42578125" style="310" customWidth="1"/>
    <col min="3841" max="3841" width="21.7109375" style="310" customWidth="1"/>
    <col min="3842" max="3842" width="11.7109375" style="310" bestFit="1" customWidth="1"/>
    <col min="3843" max="3843" width="8.28515625" style="310" customWidth="1"/>
    <col min="3844" max="3845" width="0" style="310" hidden="1" customWidth="1"/>
    <col min="3846" max="3846" width="21.7109375" style="310" customWidth="1"/>
    <col min="3847" max="3847" width="0" style="310" hidden="1" customWidth="1"/>
    <col min="3848" max="3848" width="22.85546875" style="310" customWidth="1"/>
    <col min="3849" max="3849" width="0" style="310" hidden="1" customWidth="1"/>
    <col min="3850" max="3850" width="15.28515625" style="310" customWidth="1"/>
    <col min="3851" max="3851" width="9.140625" style="310"/>
    <col min="3852" max="3857" width="0" style="310" hidden="1" customWidth="1"/>
    <col min="3858" max="4093" width="9.140625" style="310"/>
    <col min="4094" max="4094" width="1.85546875" style="310" customWidth="1"/>
    <col min="4095" max="4095" width="4.28515625" style="310" customWidth="1"/>
    <col min="4096" max="4096" width="10.42578125" style="310" customWidth="1"/>
    <col min="4097" max="4097" width="21.7109375" style="310" customWidth="1"/>
    <col min="4098" max="4098" width="11.7109375" style="310" bestFit="1" customWidth="1"/>
    <col min="4099" max="4099" width="8.28515625" style="310" customWidth="1"/>
    <col min="4100" max="4101" width="0" style="310" hidden="1" customWidth="1"/>
    <col min="4102" max="4102" width="21.7109375" style="310" customWidth="1"/>
    <col min="4103" max="4103" width="0" style="310" hidden="1" customWidth="1"/>
    <col min="4104" max="4104" width="22.85546875" style="310" customWidth="1"/>
    <col min="4105" max="4105" width="0" style="310" hidden="1" customWidth="1"/>
    <col min="4106" max="4106" width="15.28515625" style="310" customWidth="1"/>
    <col min="4107" max="4107" width="9.140625" style="310"/>
    <col min="4108" max="4113" width="0" style="310" hidden="1" customWidth="1"/>
    <col min="4114" max="4349" width="9.140625" style="310"/>
    <col min="4350" max="4350" width="1.85546875" style="310" customWidth="1"/>
    <col min="4351" max="4351" width="4.28515625" style="310" customWidth="1"/>
    <col min="4352" max="4352" width="10.42578125" style="310" customWidth="1"/>
    <col min="4353" max="4353" width="21.7109375" style="310" customWidth="1"/>
    <col min="4354" max="4354" width="11.7109375" style="310" bestFit="1" customWidth="1"/>
    <col min="4355" max="4355" width="8.28515625" style="310" customWidth="1"/>
    <col min="4356" max="4357" width="0" style="310" hidden="1" customWidth="1"/>
    <col min="4358" max="4358" width="21.7109375" style="310" customWidth="1"/>
    <col min="4359" max="4359" width="0" style="310" hidden="1" customWidth="1"/>
    <col min="4360" max="4360" width="22.85546875" style="310" customWidth="1"/>
    <col min="4361" max="4361" width="0" style="310" hidden="1" customWidth="1"/>
    <col min="4362" max="4362" width="15.28515625" style="310" customWidth="1"/>
    <col min="4363" max="4363" width="9.140625" style="310"/>
    <col min="4364" max="4369" width="0" style="310" hidden="1" customWidth="1"/>
    <col min="4370" max="4605" width="9.140625" style="310"/>
    <col min="4606" max="4606" width="1.85546875" style="310" customWidth="1"/>
    <col min="4607" max="4607" width="4.28515625" style="310" customWidth="1"/>
    <col min="4608" max="4608" width="10.42578125" style="310" customWidth="1"/>
    <col min="4609" max="4609" width="21.7109375" style="310" customWidth="1"/>
    <col min="4610" max="4610" width="11.7109375" style="310" bestFit="1" customWidth="1"/>
    <col min="4611" max="4611" width="8.28515625" style="310" customWidth="1"/>
    <col min="4612" max="4613" width="0" style="310" hidden="1" customWidth="1"/>
    <col min="4614" max="4614" width="21.7109375" style="310" customWidth="1"/>
    <col min="4615" max="4615" width="0" style="310" hidden="1" customWidth="1"/>
    <col min="4616" max="4616" width="22.85546875" style="310" customWidth="1"/>
    <col min="4617" max="4617" width="0" style="310" hidden="1" customWidth="1"/>
    <col min="4618" max="4618" width="15.28515625" style="310" customWidth="1"/>
    <col min="4619" max="4619" width="9.140625" style="310"/>
    <col min="4620" max="4625" width="0" style="310" hidden="1" customWidth="1"/>
    <col min="4626" max="4861" width="9.140625" style="310"/>
    <col min="4862" max="4862" width="1.85546875" style="310" customWidth="1"/>
    <col min="4863" max="4863" width="4.28515625" style="310" customWidth="1"/>
    <col min="4864" max="4864" width="10.42578125" style="310" customWidth="1"/>
    <col min="4865" max="4865" width="21.7109375" style="310" customWidth="1"/>
    <col min="4866" max="4866" width="11.7109375" style="310" bestFit="1" customWidth="1"/>
    <col min="4867" max="4867" width="8.28515625" style="310" customWidth="1"/>
    <col min="4868" max="4869" width="0" style="310" hidden="1" customWidth="1"/>
    <col min="4870" max="4870" width="21.7109375" style="310" customWidth="1"/>
    <col min="4871" max="4871" width="0" style="310" hidden="1" customWidth="1"/>
    <col min="4872" max="4872" width="22.85546875" style="310" customWidth="1"/>
    <col min="4873" max="4873" width="0" style="310" hidden="1" customWidth="1"/>
    <col min="4874" max="4874" width="15.28515625" style="310" customWidth="1"/>
    <col min="4875" max="4875" width="9.140625" style="310"/>
    <col min="4876" max="4881" width="0" style="310" hidden="1" customWidth="1"/>
    <col min="4882" max="5117" width="9.140625" style="310"/>
    <col min="5118" max="5118" width="1.85546875" style="310" customWidth="1"/>
    <col min="5119" max="5119" width="4.28515625" style="310" customWidth="1"/>
    <col min="5120" max="5120" width="10.42578125" style="310" customWidth="1"/>
    <col min="5121" max="5121" width="21.7109375" style="310" customWidth="1"/>
    <col min="5122" max="5122" width="11.7109375" style="310" bestFit="1" customWidth="1"/>
    <col min="5123" max="5123" width="8.28515625" style="310" customWidth="1"/>
    <col min="5124" max="5125" width="0" style="310" hidden="1" customWidth="1"/>
    <col min="5126" max="5126" width="21.7109375" style="310" customWidth="1"/>
    <col min="5127" max="5127" width="0" style="310" hidden="1" customWidth="1"/>
    <col min="5128" max="5128" width="22.85546875" style="310" customWidth="1"/>
    <col min="5129" max="5129" width="0" style="310" hidden="1" customWidth="1"/>
    <col min="5130" max="5130" width="15.28515625" style="310" customWidth="1"/>
    <col min="5131" max="5131" width="9.140625" style="310"/>
    <col min="5132" max="5137" width="0" style="310" hidden="1" customWidth="1"/>
    <col min="5138" max="5373" width="9.140625" style="310"/>
    <col min="5374" max="5374" width="1.85546875" style="310" customWidth="1"/>
    <col min="5375" max="5375" width="4.28515625" style="310" customWidth="1"/>
    <col min="5376" max="5376" width="10.42578125" style="310" customWidth="1"/>
    <col min="5377" max="5377" width="21.7109375" style="310" customWidth="1"/>
    <col min="5378" max="5378" width="11.7109375" style="310" bestFit="1" customWidth="1"/>
    <col min="5379" max="5379" width="8.28515625" style="310" customWidth="1"/>
    <col min="5380" max="5381" width="0" style="310" hidden="1" customWidth="1"/>
    <col min="5382" max="5382" width="21.7109375" style="310" customWidth="1"/>
    <col min="5383" max="5383" width="0" style="310" hidden="1" customWidth="1"/>
    <col min="5384" max="5384" width="22.85546875" style="310" customWidth="1"/>
    <col min="5385" max="5385" width="0" style="310" hidden="1" customWidth="1"/>
    <col min="5386" max="5386" width="15.28515625" style="310" customWidth="1"/>
    <col min="5387" max="5387" width="9.140625" style="310"/>
    <col min="5388" max="5393" width="0" style="310" hidden="1" customWidth="1"/>
    <col min="5394" max="5629" width="9.140625" style="310"/>
    <col min="5630" max="5630" width="1.85546875" style="310" customWidth="1"/>
    <col min="5631" max="5631" width="4.28515625" style="310" customWidth="1"/>
    <col min="5632" max="5632" width="10.42578125" style="310" customWidth="1"/>
    <col min="5633" max="5633" width="21.7109375" style="310" customWidth="1"/>
    <col min="5634" max="5634" width="11.7109375" style="310" bestFit="1" customWidth="1"/>
    <col min="5635" max="5635" width="8.28515625" style="310" customWidth="1"/>
    <col min="5636" max="5637" width="0" style="310" hidden="1" customWidth="1"/>
    <col min="5638" max="5638" width="21.7109375" style="310" customWidth="1"/>
    <col min="5639" max="5639" width="0" style="310" hidden="1" customWidth="1"/>
    <col min="5640" max="5640" width="22.85546875" style="310" customWidth="1"/>
    <col min="5641" max="5641" width="0" style="310" hidden="1" customWidth="1"/>
    <col min="5642" max="5642" width="15.28515625" style="310" customWidth="1"/>
    <col min="5643" max="5643" width="9.140625" style="310"/>
    <col min="5644" max="5649" width="0" style="310" hidden="1" customWidth="1"/>
    <col min="5650" max="5885" width="9.140625" style="310"/>
    <col min="5886" max="5886" width="1.85546875" style="310" customWidth="1"/>
    <col min="5887" max="5887" width="4.28515625" style="310" customWidth="1"/>
    <col min="5888" max="5888" width="10.42578125" style="310" customWidth="1"/>
    <col min="5889" max="5889" width="21.7109375" style="310" customWidth="1"/>
    <col min="5890" max="5890" width="11.7109375" style="310" bestFit="1" customWidth="1"/>
    <col min="5891" max="5891" width="8.28515625" style="310" customWidth="1"/>
    <col min="5892" max="5893" width="0" style="310" hidden="1" customWidth="1"/>
    <col min="5894" max="5894" width="21.7109375" style="310" customWidth="1"/>
    <col min="5895" max="5895" width="0" style="310" hidden="1" customWidth="1"/>
    <col min="5896" max="5896" width="22.85546875" style="310" customWidth="1"/>
    <col min="5897" max="5897" width="0" style="310" hidden="1" customWidth="1"/>
    <col min="5898" max="5898" width="15.28515625" style="310" customWidth="1"/>
    <col min="5899" max="5899" width="9.140625" style="310"/>
    <col min="5900" max="5905" width="0" style="310" hidden="1" customWidth="1"/>
    <col min="5906" max="6141" width="9.140625" style="310"/>
    <col min="6142" max="6142" width="1.85546875" style="310" customWidth="1"/>
    <col min="6143" max="6143" width="4.28515625" style="310" customWidth="1"/>
    <col min="6144" max="6144" width="10.42578125" style="310" customWidth="1"/>
    <col min="6145" max="6145" width="21.7109375" style="310" customWidth="1"/>
    <col min="6146" max="6146" width="11.7109375" style="310" bestFit="1" customWidth="1"/>
    <col min="6147" max="6147" width="8.28515625" style="310" customWidth="1"/>
    <col min="6148" max="6149" width="0" style="310" hidden="1" customWidth="1"/>
    <col min="6150" max="6150" width="21.7109375" style="310" customWidth="1"/>
    <col min="6151" max="6151" width="0" style="310" hidden="1" customWidth="1"/>
    <col min="6152" max="6152" width="22.85546875" style="310" customWidth="1"/>
    <col min="6153" max="6153" width="0" style="310" hidden="1" customWidth="1"/>
    <col min="6154" max="6154" width="15.28515625" style="310" customWidth="1"/>
    <col min="6155" max="6155" width="9.140625" style="310"/>
    <col min="6156" max="6161" width="0" style="310" hidden="1" customWidth="1"/>
    <col min="6162" max="6397" width="9.140625" style="310"/>
    <col min="6398" max="6398" width="1.85546875" style="310" customWidth="1"/>
    <col min="6399" max="6399" width="4.28515625" style="310" customWidth="1"/>
    <col min="6400" max="6400" width="10.42578125" style="310" customWidth="1"/>
    <col min="6401" max="6401" width="21.7109375" style="310" customWidth="1"/>
    <col min="6402" max="6402" width="11.7109375" style="310" bestFit="1" customWidth="1"/>
    <col min="6403" max="6403" width="8.28515625" style="310" customWidth="1"/>
    <col min="6404" max="6405" width="0" style="310" hidden="1" customWidth="1"/>
    <col min="6406" max="6406" width="21.7109375" style="310" customWidth="1"/>
    <col min="6407" max="6407" width="0" style="310" hidden="1" customWidth="1"/>
    <col min="6408" max="6408" width="22.85546875" style="310" customWidth="1"/>
    <col min="6409" max="6409" width="0" style="310" hidden="1" customWidth="1"/>
    <col min="6410" max="6410" width="15.28515625" style="310" customWidth="1"/>
    <col min="6411" max="6411" width="9.140625" style="310"/>
    <col min="6412" max="6417" width="0" style="310" hidden="1" customWidth="1"/>
    <col min="6418" max="6653" width="9.140625" style="310"/>
    <col min="6654" max="6654" width="1.85546875" style="310" customWidth="1"/>
    <col min="6655" max="6655" width="4.28515625" style="310" customWidth="1"/>
    <col min="6656" max="6656" width="10.42578125" style="310" customWidth="1"/>
    <col min="6657" max="6657" width="21.7109375" style="310" customWidth="1"/>
    <col min="6658" max="6658" width="11.7109375" style="310" bestFit="1" customWidth="1"/>
    <col min="6659" max="6659" width="8.28515625" style="310" customWidth="1"/>
    <col min="6660" max="6661" width="0" style="310" hidden="1" customWidth="1"/>
    <col min="6662" max="6662" width="21.7109375" style="310" customWidth="1"/>
    <col min="6663" max="6663" width="0" style="310" hidden="1" customWidth="1"/>
    <col min="6664" max="6664" width="22.85546875" style="310" customWidth="1"/>
    <col min="6665" max="6665" width="0" style="310" hidden="1" customWidth="1"/>
    <col min="6666" max="6666" width="15.28515625" style="310" customWidth="1"/>
    <col min="6667" max="6667" width="9.140625" style="310"/>
    <col min="6668" max="6673" width="0" style="310" hidden="1" customWidth="1"/>
    <col min="6674" max="6909" width="9.140625" style="310"/>
    <col min="6910" max="6910" width="1.85546875" style="310" customWidth="1"/>
    <col min="6911" max="6911" width="4.28515625" style="310" customWidth="1"/>
    <col min="6912" max="6912" width="10.42578125" style="310" customWidth="1"/>
    <col min="6913" max="6913" width="21.7109375" style="310" customWidth="1"/>
    <col min="6914" max="6914" width="11.7109375" style="310" bestFit="1" customWidth="1"/>
    <col min="6915" max="6915" width="8.28515625" style="310" customWidth="1"/>
    <col min="6916" max="6917" width="0" style="310" hidden="1" customWidth="1"/>
    <col min="6918" max="6918" width="21.7109375" style="310" customWidth="1"/>
    <col min="6919" max="6919" width="0" style="310" hidden="1" customWidth="1"/>
    <col min="6920" max="6920" width="22.85546875" style="310" customWidth="1"/>
    <col min="6921" max="6921" width="0" style="310" hidden="1" customWidth="1"/>
    <col min="6922" max="6922" width="15.28515625" style="310" customWidth="1"/>
    <col min="6923" max="6923" width="9.140625" style="310"/>
    <col min="6924" max="6929" width="0" style="310" hidden="1" customWidth="1"/>
    <col min="6930" max="7165" width="9.140625" style="310"/>
    <col min="7166" max="7166" width="1.85546875" style="310" customWidth="1"/>
    <col min="7167" max="7167" width="4.28515625" style="310" customWidth="1"/>
    <col min="7168" max="7168" width="10.42578125" style="310" customWidth="1"/>
    <col min="7169" max="7169" width="21.7109375" style="310" customWidth="1"/>
    <col min="7170" max="7170" width="11.7109375" style="310" bestFit="1" customWidth="1"/>
    <col min="7171" max="7171" width="8.28515625" style="310" customWidth="1"/>
    <col min="7172" max="7173" width="0" style="310" hidden="1" customWidth="1"/>
    <col min="7174" max="7174" width="21.7109375" style="310" customWidth="1"/>
    <col min="7175" max="7175" width="0" style="310" hidden="1" customWidth="1"/>
    <col min="7176" max="7176" width="22.85546875" style="310" customWidth="1"/>
    <col min="7177" max="7177" width="0" style="310" hidden="1" customWidth="1"/>
    <col min="7178" max="7178" width="15.28515625" style="310" customWidth="1"/>
    <col min="7179" max="7179" width="9.140625" style="310"/>
    <col min="7180" max="7185" width="0" style="310" hidden="1" customWidth="1"/>
    <col min="7186" max="7421" width="9.140625" style="310"/>
    <col min="7422" max="7422" width="1.85546875" style="310" customWidth="1"/>
    <col min="7423" max="7423" width="4.28515625" style="310" customWidth="1"/>
    <col min="7424" max="7424" width="10.42578125" style="310" customWidth="1"/>
    <col min="7425" max="7425" width="21.7109375" style="310" customWidth="1"/>
    <col min="7426" max="7426" width="11.7109375" style="310" bestFit="1" customWidth="1"/>
    <col min="7427" max="7427" width="8.28515625" style="310" customWidth="1"/>
    <col min="7428" max="7429" width="0" style="310" hidden="1" customWidth="1"/>
    <col min="7430" max="7430" width="21.7109375" style="310" customWidth="1"/>
    <col min="7431" max="7431" width="0" style="310" hidden="1" customWidth="1"/>
    <col min="7432" max="7432" width="22.85546875" style="310" customWidth="1"/>
    <col min="7433" max="7433" width="0" style="310" hidden="1" customWidth="1"/>
    <col min="7434" max="7434" width="15.28515625" style="310" customWidth="1"/>
    <col min="7435" max="7435" width="9.140625" style="310"/>
    <col min="7436" max="7441" width="0" style="310" hidden="1" customWidth="1"/>
    <col min="7442" max="7677" width="9.140625" style="310"/>
    <col min="7678" max="7678" width="1.85546875" style="310" customWidth="1"/>
    <col min="7679" max="7679" width="4.28515625" style="310" customWidth="1"/>
    <col min="7680" max="7680" width="10.42578125" style="310" customWidth="1"/>
    <col min="7681" max="7681" width="21.7109375" style="310" customWidth="1"/>
    <col min="7682" max="7682" width="11.7109375" style="310" bestFit="1" customWidth="1"/>
    <col min="7683" max="7683" width="8.28515625" style="310" customWidth="1"/>
    <col min="7684" max="7685" width="0" style="310" hidden="1" customWidth="1"/>
    <col min="7686" max="7686" width="21.7109375" style="310" customWidth="1"/>
    <col min="7687" max="7687" width="0" style="310" hidden="1" customWidth="1"/>
    <col min="7688" max="7688" width="22.85546875" style="310" customWidth="1"/>
    <col min="7689" max="7689" width="0" style="310" hidden="1" customWidth="1"/>
    <col min="7690" max="7690" width="15.28515625" style="310" customWidth="1"/>
    <col min="7691" max="7691" width="9.140625" style="310"/>
    <col min="7692" max="7697" width="0" style="310" hidden="1" customWidth="1"/>
    <col min="7698" max="7933" width="9.140625" style="310"/>
    <col min="7934" max="7934" width="1.85546875" style="310" customWidth="1"/>
    <col min="7935" max="7935" width="4.28515625" style="310" customWidth="1"/>
    <col min="7936" max="7936" width="10.42578125" style="310" customWidth="1"/>
    <col min="7937" max="7937" width="21.7109375" style="310" customWidth="1"/>
    <col min="7938" max="7938" width="11.7109375" style="310" bestFit="1" customWidth="1"/>
    <col min="7939" max="7939" width="8.28515625" style="310" customWidth="1"/>
    <col min="7940" max="7941" width="0" style="310" hidden="1" customWidth="1"/>
    <col min="7942" max="7942" width="21.7109375" style="310" customWidth="1"/>
    <col min="7943" max="7943" width="0" style="310" hidden="1" customWidth="1"/>
    <col min="7944" max="7944" width="22.85546875" style="310" customWidth="1"/>
    <col min="7945" max="7945" width="0" style="310" hidden="1" customWidth="1"/>
    <col min="7946" max="7946" width="15.28515625" style="310" customWidth="1"/>
    <col min="7947" max="7947" width="9.140625" style="310"/>
    <col min="7948" max="7953" width="0" style="310" hidden="1" customWidth="1"/>
    <col min="7954" max="8189" width="9.140625" style="310"/>
    <col min="8190" max="8190" width="1.85546875" style="310" customWidth="1"/>
    <col min="8191" max="8191" width="4.28515625" style="310" customWidth="1"/>
    <col min="8192" max="8192" width="10.42578125" style="310" customWidth="1"/>
    <col min="8193" max="8193" width="21.7109375" style="310" customWidth="1"/>
    <col min="8194" max="8194" width="11.7109375" style="310" bestFit="1" customWidth="1"/>
    <col min="8195" max="8195" width="8.28515625" style="310" customWidth="1"/>
    <col min="8196" max="8197" width="0" style="310" hidden="1" customWidth="1"/>
    <col min="8198" max="8198" width="21.7109375" style="310" customWidth="1"/>
    <col min="8199" max="8199" width="0" style="310" hidden="1" customWidth="1"/>
    <col min="8200" max="8200" width="22.85546875" style="310" customWidth="1"/>
    <col min="8201" max="8201" width="0" style="310" hidden="1" customWidth="1"/>
    <col min="8202" max="8202" width="15.28515625" style="310" customWidth="1"/>
    <col min="8203" max="8203" width="9.140625" style="310"/>
    <col min="8204" max="8209" width="0" style="310" hidden="1" customWidth="1"/>
    <col min="8210" max="8445" width="9.140625" style="310"/>
    <col min="8446" max="8446" width="1.85546875" style="310" customWidth="1"/>
    <col min="8447" max="8447" width="4.28515625" style="310" customWidth="1"/>
    <col min="8448" max="8448" width="10.42578125" style="310" customWidth="1"/>
    <col min="8449" max="8449" width="21.7109375" style="310" customWidth="1"/>
    <col min="8450" max="8450" width="11.7109375" style="310" bestFit="1" customWidth="1"/>
    <col min="8451" max="8451" width="8.28515625" style="310" customWidth="1"/>
    <col min="8452" max="8453" width="0" style="310" hidden="1" customWidth="1"/>
    <col min="8454" max="8454" width="21.7109375" style="310" customWidth="1"/>
    <col min="8455" max="8455" width="0" style="310" hidden="1" customWidth="1"/>
    <col min="8456" max="8456" width="22.85546875" style="310" customWidth="1"/>
    <col min="8457" max="8457" width="0" style="310" hidden="1" customWidth="1"/>
    <col min="8458" max="8458" width="15.28515625" style="310" customWidth="1"/>
    <col min="8459" max="8459" width="9.140625" style="310"/>
    <col min="8460" max="8465" width="0" style="310" hidden="1" customWidth="1"/>
    <col min="8466" max="8701" width="9.140625" style="310"/>
    <col min="8702" max="8702" width="1.85546875" style="310" customWidth="1"/>
    <col min="8703" max="8703" width="4.28515625" style="310" customWidth="1"/>
    <col min="8704" max="8704" width="10.42578125" style="310" customWidth="1"/>
    <col min="8705" max="8705" width="21.7109375" style="310" customWidth="1"/>
    <col min="8706" max="8706" width="11.7109375" style="310" bestFit="1" customWidth="1"/>
    <col min="8707" max="8707" width="8.28515625" style="310" customWidth="1"/>
    <col min="8708" max="8709" width="0" style="310" hidden="1" customWidth="1"/>
    <col min="8710" max="8710" width="21.7109375" style="310" customWidth="1"/>
    <col min="8711" max="8711" width="0" style="310" hidden="1" customWidth="1"/>
    <col min="8712" max="8712" width="22.85546875" style="310" customWidth="1"/>
    <col min="8713" max="8713" width="0" style="310" hidden="1" customWidth="1"/>
    <col min="8714" max="8714" width="15.28515625" style="310" customWidth="1"/>
    <col min="8715" max="8715" width="9.140625" style="310"/>
    <col min="8716" max="8721" width="0" style="310" hidden="1" customWidth="1"/>
    <col min="8722" max="8957" width="9.140625" style="310"/>
    <col min="8958" max="8958" width="1.85546875" style="310" customWidth="1"/>
    <col min="8959" max="8959" width="4.28515625" style="310" customWidth="1"/>
    <col min="8960" max="8960" width="10.42578125" style="310" customWidth="1"/>
    <col min="8961" max="8961" width="21.7109375" style="310" customWidth="1"/>
    <col min="8962" max="8962" width="11.7109375" style="310" bestFit="1" customWidth="1"/>
    <col min="8963" max="8963" width="8.28515625" style="310" customWidth="1"/>
    <col min="8964" max="8965" width="0" style="310" hidden="1" customWidth="1"/>
    <col min="8966" max="8966" width="21.7109375" style="310" customWidth="1"/>
    <col min="8967" max="8967" width="0" style="310" hidden="1" customWidth="1"/>
    <col min="8968" max="8968" width="22.85546875" style="310" customWidth="1"/>
    <col min="8969" max="8969" width="0" style="310" hidden="1" customWidth="1"/>
    <col min="8970" max="8970" width="15.28515625" style="310" customWidth="1"/>
    <col min="8971" max="8971" width="9.140625" style="310"/>
    <col min="8972" max="8977" width="0" style="310" hidden="1" customWidth="1"/>
    <col min="8978" max="9213" width="9.140625" style="310"/>
    <col min="9214" max="9214" width="1.85546875" style="310" customWidth="1"/>
    <col min="9215" max="9215" width="4.28515625" style="310" customWidth="1"/>
    <col min="9216" max="9216" width="10.42578125" style="310" customWidth="1"/>
    <col min="9217" max="9217" width="21.7109375" style="310" customWidth="1"/>
    <col min="9218" max="9218" width="11.7109375" style="310" bestFit="1" customWidth="1"/>
    <col min="9219" max="9219" width="8.28515625" style="310" customWidth="1"/>
    <col min="9220" max="9221" width="0" style="310" hidden="1" customWidth="1"/>
    <col min="9222" max="9222" width="21.7109375" style="310" customWidth="1"/>
    <col min="9223" max="9223" width="0" style="310" hidden="1" customWidth="1"/>
    <col min="9224" max="9224" width="22.85546875" style="310" customWidth="1"/>
    <col min="9225" max="9225" width="0" style="310" hidden="1" customWidth="1"/>
    <col min="9226" max="9226" width="15.28515625" style="310" customWidth="1"/>
    <col min="9227" max="9227" width="9.140625" style="310"/>
    <col min="9228" max="9233" width="0" style="310" hidden="1" customWidth="1"/>
    <col min="9234" max="9469" width="9.140625" style="310"/>
    <col min="9470" max="9470" width="1.85546875" style="310" customWidth="1"/>
    <col min="9471" max="9471" width="4.28515625" style="310" customWidth="1"/>
    <col min="9472" max="9472" width="10.42578125" style="310" customWidth="1"/>
    <col min="9473" max="9473" width="21.7109375" style="310" customWidth="1"/>
    <col min="9474" max="9474" width="11.7109375" style="310" bestFit="1" customWidth="1"/>
    <col min="9475" max="9475" width="8.28515625" style="310" customWidth="1"/>
    <col min="9476" max="9477" width="0" style="310" hidden="1" customWidth="1"/>
    <col min="9478" max="9478" width="21.7109375" style="310" customWidth="1"/>
    <col min="9479" max="9479" width="0" style="310" hidden="1" customWidth="1"/>
    <col min="9480" max="9480" width="22.85546875" style="310" customWidth="1"/>
    <col min="9481" max="9481" width="0" style="310" hidden="1" customWidth="1"/>
    <col min="9482" max="9482" width="15.28515625" style="310" customWidth="1"/>
    <col min="9483" max="9483" width="9.140625" style="310"/>
    <col min="9484" max="9489" width="0" style="310" hidden="1" customWidth="1"/>
    <col min="9490" max="9725" width="9.140625" style="310"/>
    <col min="9726" max="9726" width="1.85546875" style="310" customWidth="1"/>
    <col min="9727" max="9727" width="4.28515625" style="310" customWidth="1"/>
    <col min="9728" max="9728" width="10.42578125" style="310" customWidth="1"/>
    <col min="9729" max="9729" width="21.7109375" style="310" customWidth="1"/>
    <col min="9730" max="9730" width="11.7109375" style="310" bestFit="1" customWidth="1"/>
    <col min="9731" max="9731" width="8.28515625" style="310" customWidth="1"/>
    <col min="9732" max="9733" width="0" style="310" hidden="1" customWidth="1"/>
    <col min="9734" max="9734" width="21.7109375" style="310" customWidth="1"/>
    <col min="9735" max="9735" width="0" style="310" hidden="1" customWidth="1"/>
    <col min="9736" max="9736" width="22.85546875" style="310" customWidth="1"/>
    <col min="9737" max="9737" width="0" style="310" hidden="1" customWidth="1"/>
    <col min="9738" max="9738" width="15.28515625" style="310" customWidth="1"/>
    <col min="9739" max="9739" width="9.140625" style="310"/>
    <col min="9740" max="9745" width="0" style="310" hidden="1" customWidth="1"/>
    <col min="9746" max="9981" width="9.140625" style="310"/>
    <col min="9982" max="9982" width="1.85546875" style="310" customWidth="1"/>
    <col min="9983" max="9983" width="4.28515625" style="310" customWidth="1"/>
    <col min="9984" max="9984" width="10.42578125" style="310" customWidth="1"/>
    <col min="9985" max="9985" width="21.7109375" style="310" customWidth="1"/>
    <col min="9986" max="9986" width="11.7109375" style="310" bestFit="1" customWidth="1"/>
    <col min="9987" max="9987" width="8.28515625" style="310" customWidth="1"/>
    <col min="9988" max="9989" width="0" style="310" hidden="1" customWidth="1"/>
    <col min="9990" max="9990" width="21.7109375" style="310" customWidth="1"/>
    <col min="9991" max="9991" width="0" style="310" hidden="1" customWidth="1"/>
    <col min="9992" max="9992" width="22.85546875" style="310" customWidth="1"/>
    <col min="9993" max="9993" width="0" style="310" hidden="1" customWidth="1"/>
    <col min="9994" max="9994" width="15.28515625" style="310" customWidth="1"/>
    <col min="9995" max="9995" width="9.140625" style="310"/>
    <col min="9996" max="10001" width="0" style="310" hidden="1" customWidth="1"/>
    <col min="10002" max="10237" width="9.140625" style="310"/>
    <col min="10238" max="10238" width="1.85546875" style="310" customWidth="1"/>
    <col min="10239" max="10239" width="4.28515625" style="310" customWidth="1"/>
    <col min="10240" max="10240" width="10.42578125" style="310" customWidth="1"/>
    <col min="10241" max="10241" width="21.7109375" style="310" customWidth="1"/>
    <col min="10242" max="10242" width="11.7109375" style="310" bestFit="1" customWidth="1"/>
    <col min="10243" max="10243" width="8.28515625" style="310" customWidth="1"/>
    <col min="10244" max="10245" width="0" style="310" hidden="1" customWidth="1"/>
    <col min="10246" max="10246" width="21.7109375" style="310" customWidth="1"/>
    <col min="10247" max="10247" width="0" style="310" hidden="1" customWidth="1"/>
    <col min="10248" max="10248" width="22.85546875" style="310" customWidth="1"/>
    <col min="10249" max="10249" width="0" style="310" hidden="1" customWidth="1"/>
    <col min="10250" max="10250" width="15.28515625" style="310" customWidth="1"/>
    <col min="10251" max="10251" width="9.140625" style="310"/>
    <col min="10252" max="10257" width="0" style="310" hidden="1" customWidth="1"/>
    <col min="10258" max="10493" width="9.140625" style="310"/>
    <col min="10494" max="10494" width="1.85546875" style="310" customWidth="1"/>
    <col min="10495" max="10495" width="4.28515625" style="310" customWidth="1"/>
    <col min="10496" max="10496" width="10.42578125" style="310" customWidth="1"/>
    <col min="10497" max="10497" width="21.7109375" style="310" customWidth="1"/>
    <col min="10498" max="10498" width="11.7109375" style="310" bestFit="1" customWidth="1"/>
    <col min="10499" max="10499" width="8.28515625" style="310" customWidth="1"/>
    <col min="10500" max="10501" width="0" style="310" hidden="1" customWidth="1"/>
    <col min="10502" max="10502" width="21.7109375" style="310" customWidth="1"/>
    <col min="10503" max="10503" width="0" style="310" hidden="1" customWidth="1"/>
    <col min="10504" max="10504" width="22.85546875" style="310" customWidth="1"/>
    <col min="10505" max="10505" width="0" style="310" hidden="1" customWidth="1"/>
    <col min="10506" max="10506" width="15.28515625" style="310" customWidth="1"/>
    <col min="10507" max="10507" width="9.140625" style="310"/>
    <col min="10508" max="10513" width="0" style="310" hidden="1" customWidth="1"/>
    <col min="10514" max="10749" width="9.140625" style="310"/>
    <col min="10750" max="10750" width="1.85546875" style="310" customWidth="1"/>
    <col min="10751" max="10751" width="4.28515625" style="310" customWidth="1"/>
    <col min="10752" max="10752" width="10.42578125" style="310" customWidth="1"/>
    <col min="10753" max="10753" width="21.7109375" style="310" customWidth="1"/>
    <col min="10754" max="10754" width="11.7109375" style="310" bestFit="1" customWidth="1"/>
    <col min="10755" max="10755" width="8.28515625" style="310" customWidth="1"/>
    <col min="10756" max="10757" width="0" style="310" hidden="1" customWidth="1"/>
    <col min="10758" max="10758" width="21.7109375" style="310" customWidth="1"/>
    <col min="10759" max="10759" width="0" style="310" hidden="1" customWidth="1"/>
    <col min="10760" max="10760" width="22.85546875" style="310" customWidth="1"/>
    <col min="10761" max="10761" width="0" style="310" hidden="1" customWidth="1"/>
    <col min="10762" max="10762" width="15.28515625" style="310" customWidth="1"/>
    <col min="10763" max="10763" width="9.140625" style="310"/>
    <col min="10764" max="10769" width="0" style="310" hidden="1" customWidth="1"/>
    <col min="10770" max="11005" width="9.140625" style="310"/>
    <col min="11006" max="11006" width="1.85546875" style="310" customWidth="1"/>
    <col min="11007" max="11007" width="4.28515625" style="310" customWidth="1"/>
    <col min="11008" max="11008" width="10.42578125" style="310" customWidth="1"/>
    <col min="11009" max="11009" width="21.7109375" style="310" customWidth="1"/>
    <col min="11010" max="11010" width="11.7109375" style="310" bestFit="1" customWidth="1"/>
    <col min="11011" max="11011" width="8.28515625" style="310" customWidth="1"/>
    <col min="11012" max="11013" width="0" style="310" hidden="1" customWidth="1"/>
    <col min="11014" max="11014" width="21.7109375" style="310" customWidth="1"/>
    <col min="11015" max="11015" width="0" style="310" hidden="1" customWidth="1"/>
    <col min="11016" max="11016" width="22.85546875" style="310" customWidth="1"/>
    <col min="11017" max="11017" width="0" style="310" hidden="1" customWidth="1"/>
    <col min="11018" max="11018" width="15.28515625" style="310" customWidth="1"/>
    <col min="11019" max="11019" width="9.140625" style="310"/>
    <col min="11020" max="11025" width="0" style="310" hidden="1" customWidth="1"/>
    <col min="11026" max="11261" width="9.140625" style="310"/>
    <col min="11262" max="11262" width="1.85546875" style="310" customWidth="1"/>
    <col min="11263" max="11263" width="4.28515625" style="310" customWidth="1"/>
    <col min="11264" max="11264" width="10.42578125" style="310" customWidth="1"/>
    <col min="11265" max="11265" width="21.7109375" style="310" customWidth="1"/>
    <col min="11266" max="11266" width="11.7109375" style="310" bestFit="1" customWidth="1"/>
    <col min="11267" max="11267" width="8.28515625" style="310" customWidth="1"/>
    <col min="11268" max="11269" width="0" style="310" hidden="1" customWidth="1"/>
    <col min="11270" max="11270" width="21.7109375" style="310" customWidth="1"/>
    <col min="11271" max="11271" width="0" style="310" hidden="1" customWidth="1"/>
    <col min="11272" max="11272" width="22.85546875" style="310" customWidth="1"/>
    <col min="11273" max="11273" width="0" style="310" hidden="1" customWidth="1"/>
    <col min="11274" max="11274" width="15.28515625" style="310" customWidth="1"/>
    <col min="11275" max="11275" width="9.140625" style="310"/>
    <col min="11276" max="11281" width="0" style="310" hidden="1" customWidth="1"/>
    <col min="11282" max="11517" width="9.140625" style="310"/>
    <col min="11518" max="11518" width="1.85546875" style="310" customWidth="1"/>
    <col min="11519" max="11519" width="4.28515625" style="310" customWidth="1"/>
    <col min="11520" max="11520" width="10.42578125" style="310" customWidth="1"/>
    <col min="11521" max="11521" width="21.7109375" style="310" customWidth="1"/>
    <col min="11522" max="11522" width="11.7109375" style="310" bestFit="1" customWidth="1"/>
    <col min="11523" max="11523" width="8.28515625" style="310" customWidth="1"/>
    <col min="11524" max="11525" width="0" style="310" hidden="1" customWidth="1"/>
    <col min="11526" max="11526" width="21.7109375" style="310" customWidth="1"/>
    <col min="11527" max="11527" width="0" style="310" hidden="1" customWidth="1"/>
    <col min="11528" max="11528" width="22.85546875" style="310" customWidth="1"/>
    <col min="11529" max="11529" width="0" style="310" hidden="1" customWidth="1"/>
    <col min="11530" max="11530" width="15.28515625" style="310" customWidth="1"/>
    <col min="11531" max="11531" width="9.140625" style="310"/>
    <col min="11532" max="11537" width="0" style="310" hidden="1" customWidth="1"/>
    <col min="11538" max="11773" width="9.140625" style="310"/>
    <col min="11774" max="11774" width="1.85546875" style="310" customWidth="1"/>
    <col min="11775" max="11775" width="4.28515625" style="310" customWidth="1"/>
    <col min="11776" max="11776" width="10.42578125" style="310" customWidth="1"/>
    <col min="11777" max="11777" width="21.7109375" style="310" customWidth="1"/>
    <col min="11778" max="11778" width="11.7109375" style="310" bestFit="1" customWidth="1"/>
    <col min="11779" max="11779" width="8.28515625" style="310" customWidth="1"/>
    <col min="11780" max="11781" width="0" style="310" hidden="1" customWidth="1"/>
    <col min="11782" max="11782" width="21.7109375" style="310" customWidth="1"/>
    <col min="11783" max="11783" width="0" style="310" hidden="1" customWidth="1"/>
    <col min="11784" max="11784" width="22.85546875" style="310" customWidth="1"/>
    <col min="11785" max="11785" width="0" style="310" hidden="1" customWidth="1"/>
    <col min="11786" max="11786" width="15.28515625" style="310" customWidth="1"/>
    <col min="11787" max="11787" width="9.140625" style="310"/>
    <col min="11788" max="11793" width="0" style="310" hidden="1" customWidth="1"/>
    <col min="11794" max="12029" width="9.140625" style="310"/>
    <col min="12030" max="12030" width="1.85546875" style="310" customWidth="1"/>
    <col min="12031" max="12031" width="4.28515625" style="310" customWidth="1"/>
    <col min="12032" max="12032" width="10.42578125" style="310" customWidth="1"/>
    <col min="12033" max="12033" width="21.7109375" style="310" customWidth="1"/>
    <col min="12034" max="12034" width="11.7109375" style="310" bestFit="1" customWidth="1"/>
    <col min="12035" max="12035" width="8.28515625" style="310" customWidth="1"/>
    <col min="12036" max="12037" width="0" style="310" hidden="1" customWidth="1"/>
    <col min="12038" max="12038" width="21.7109375" style="310" customWidth="1"/>
    <col min="12039" max="12039" width="0" style="310" hidden="1" customWidth="1"/>
    <col min="12040" max="12040" width="22.85546875" style="310" customWidth="1"/>
    <col min="12041" max="12041" width="0" style="310" hidden="1" customWidth="1"/>
    <col min="12042" max="12042" width="15.28515625" style="310" customWidth="1"/>
    <col min="12043" max="12043" width="9.140625" style="310"/>
    <col min="12044" max="12049" width="0" style="310" hidden="1" customWidth="1"/>
    <col min="12050" max="12285" width="9.140625" style="310"/>
    <col min="12286" max="12286" width="1.85546875" style="310" customWidth="1"/>
    <col min="12287" max="12287" width="4.28515625" style="310" customWidth="1"/>
    <col min="12288" max="12288" width="10.42578125" style="310" customWidth="1"/>
    <col min="12289" max="12289" width="21.7109375" style="310" customWidth="1"/>
    <col min="12290" max="12290" width="11.7109375" style="310" bestFit="1" customWidth="1"/>
    <col min="12291" max="12291" width="8.28515625" style="310" customWidth="1"/>
    <col min="12292" max="12293" width="0" style="310" hidden="1" customWidth="1"/>
    <col min="12294" max="12294" width="21.7109375" style="310" customWidth="1"/>
    <col min="12295" max="12295" width="0" style="310" hidden="1" customWidth="1"/>
    <col min="12296" max="12296" width="22.85546875" style="310" customWidth="1"/>
    <col min="12297" max="12297" width="0" style="310" hidden="1" customWidth="1"/>
    <col min="12298" max="12298" width="15.28515625" style="310" customWidth="1"/>
    <col min="12299" max="12299" width="9.140625" style="310"/>
    <col min="12300" max="12305" width="0" style="310" hidden="1" customWidth="1"/>
    <col min="12306" max="12541" width="9.140625" style="310"/>
    <col min="12542" max="12542" width="1.85546875" style="310" customWidth="1"/>
    <col min="12543" max="12543" width="4.28515625" style="310" customWidth="1"/>
    <col min="12544" max="12544" width="10.42578125" style="310" customWidth="1"/>
    <col min="12545" max="12545" width="21.7109375" style="310" customWidth="1"/>
    <col min="12546" max="12546" width="11.7109375" style="310" bestFit="1" customWidth="1"/>
    <col min="12547" max="12547" width="8.28515625" style="310" customWidth="1"/>
    <col min="12548" max="12549" width="0" style="310" hidden="1" customWidth="1"/>
    <col min="12550" max="12550" width="21.7109375" style="310" customWidth="1"/>
    <col min="12551" max="12551" width="0" style="310" hidden="1" customWidth="1"/>
    <col min="12552" max="12552" width="22.85546875" style="310" customWidth="1"/>
    <col min="12553" max="12553" width="0" style="310" hidden="1" customWidth="1"/>
    <col min="12554" max="12554" width="15.28515625" style="310" customWidth="1"/>
    <col min="12555" max="12555" width="9.140625" style="310"/>
    <col min="12556" max="12561" width="0" style="310" hidden="1" customWidth="1"/>
    <col min="12562" max="12797" width="9.140625" style="310"/>
    <col min="12798" max="12798" width="1.85546875" style="310" customWidth="1"/>
    <col min="12799" max="12799" width="4.28515625" style="310" customWidth="1"/>
    <col min="12800" max="12800" width="10.42578125" style="310" customWidth="1"/>
    <col min="12801" max="12801" width="21.7109375" style="310" customWidth="1"/>
    <col min="12802" max="12802" width="11.7109375" style="310" bestFit="1" customWidth="1"/>
    <col min="12803" max="12803" width="8.28515625" style="310" customWidth="1"/>
    <col min="12804" max="12805" width="0" style="310" hidden="1" customWidth="1"/>
    <col min="12806" max="12806" width="21.7109375" style="310" customWidth="1"/>
    <col min="12807" max="12807" width="0" style="310" hidden="1" customWidth="1"/>
    <col min="12808" max="12808" width="22.85546875" style="310" customWidth="1"/>
    <col min="12809" max="12809" width="0" style="310" hidden="1" customWidth="1"/>
    <col min="12810" max="12810" width="15.28515625" style="310" customWidth="1"/>
    <col min="12811" max="12811" width="9.140625" style="310"/>
    <col min="12812" max="12817" width="0" style="310" hidden="1" customWidth="1"/>
    <col min="12818" max="13053" width="9.140625" style="310"/>
    <col min="13054" max="13054" width="1.85546875" style="310" customWidth="1"/>
    <col min="13055" max="13055" width="4.28515625" style="310" customWidth="1"/>
    <col min="13056" max="13056" width="10.42578125" style="310" customWidth="1"/>
    <col min="13057" max="13057" width="21.7109375" style="310" customWidth="1"/>
    <col min="13058" max="13058" width="11.7109375" style="310" bestFit="1" customWidth="1"/>
    <col min="13059" max="13059" width="8.28515625" style="310" customWidth="1"/>
    <col min="13060" max="13061" width="0" style="310" hidden="1" customWidth="1"/>
    <col min="13062" max="13062" width="21.7109375" style="310" customWidth="1"/>
    <col min="13063" max="13063" width="0" style="310" hidden="1" customWidth="1"/>
    <col min="13064" max="13064" width="22.85546875" style="310" customWidth="1"/>
    <col min="13065" max="13065" width="0" style="310" hidden="1" customWidth="1"/>
    <col min="13066" max="13066" width="15.28515625" style="310" customWidth="1"/>
    <col min="13067" max="13067" width="9.140625" style="310"/>
    <col min="13068" max="13073" width="0" style="310" hidden="1" customWidth="1"/>
    <col min="13074" max="13309" width="9.140625" style="310"/>
    <col min="13310" max="13310" width="1.85546875" style="310" customWidth="1"/>
    <col min="13311" max="13311" width="4.28515625" style="310" customWidth="1"/>
    <col min="13312" max="13312" width="10.42578125" style="310" customWidth="1"/>
    <col min="13313" max="13313" width="21.7109375" style="310" customWidth="1"/>
    <col min="13314" max="13314" width="11.7109375" style="310" bestFit="1" customWidth="1"/>
    <col min="13315" max="13315" width="8.28515625" style="310" customWidth="1"/>
    <col min="13316" max="13317" width="0" style="310" hidden="1" customWidth="1"/>
    <col min="13318" max="13318" width="21.7109375" style="310" customWidth="1"/>
    <col min="13319" max="13319" width="0" style="310" hidden="1" customWidth="1"/>
    <col min="13320" max="13320" width="22.85546875" style="310" customWidth="1"/>
    <col min="13321" max="13321" width="0" style="310" hidden="1" customWidth="1"/>
    <col min="13322" max="13322" width="15.28515625" style="310" customWidth="1"/>
    <col min="13323" max="13323" width="9.140625" style="310"/>
    <col min="13324" max="13329" width="0" style="310" hidden="1" customWidth="1"/>
    <col min="13330" max="13565" width="9.140625" style="310"/>
    <col min="13566" max="13566" width="1.85546875" style="310" customWidth="1"/>
    <col min="13567" max="13567" width="4.28515625" style="310" customWidth="1"/>
    <col min="13568" max="13568" width="10.42578125" style="310" customWidth="1"/>
    <col min="13569" max="13569" width="21.7109375" style="310" customWidth="1"/>
    <col min="13570" max="13570" width="11.7109375" style="310" bestFit="1" customWidth="1"/>
    <col min="13571" max="13571" width="8.28515625" style="310" customWidth="1"/>
    <col min="13572" max="13573" width="0" style="310" hidden="1" customWidth="1"/>
    <col min="13574" max="13574" width="21.7109375" style="310" customWidth="1"/>
    <col min="13575" max="13575" width="0" style="310" hidden="1" customWidth="1"/>
    <col min="13576" max="13576" width="22.85546875" style="310" customWidth="1"/>
    <col min="13577" max="13577" width="0" style="310" hidden="1" customWidth="1"/>
    <col min="13578" max="13578" width="15.28515625" style="310" customWidth="1"/>
    <col min="13579" max="13579" width="9.140625" style="310"/>
    <col min="13580" max="13585" width="0" style="310" hidden="1" customWidth="1"/>
    <col min="13586" max="13821" width="9.140625" style="310"/>
    <col min="13822" max="13822" width="1.85546875" style="310" customWidth="1"/>
    <col min="13823" max="13823" width="4.28515625" style="310" customWidth="1"/>
    <col min="13824" max="13824" width="10.42578125" style="310" customWidth="1"/>
    <col min="13825" max="13825" width="21.7109375" style="310" customWidth="1"/>
    <col min="13826" max="13826" width="11.7109375" style="310" bestFit="1" customWidth="1"/>
    <col min="13827" max="13827" width="8.28515625" style="310" customWidth="1"/>
    <col min="13828" max="13829" width="0" style="310" hidden="1" customWidth="1"/>
    <col min="13830" max="13830" width="21.7109375" style="310" customWidth="1"/>
    <col min="13831" max="13831" width="0" style="310" hidden="1" customWidth="1"/>
    <col min="13832" max="13832" width="22.85546875" style="310" customWidth="1"/>
    <col min="13833" max="13833" width="0" style="310" hidden="1" customWidth="1"/>
    <col min="13834" max="13834" width="15.28515625" style="310" customWidth="1"/>
    <col min="13835" max="13835" width="9.140625" style="310"/>
    <col min="13836" max="13841" width="0" style="310" hidden="1" customWidth="1"/>
    <col min="13842" max="14077" width="9.140625" style="310"/>
    <col min="14078" max="14078" width="1.85546875" style="310" customWidth="1"/>
    <col min="14079" max="14079" width="4.28515625" style="310" customWidth="1"/>
    <col min="14080" max="14080" width="10.42578125" style="310" customWidth="1"/>
    <col min="14081" max="14081" width="21.7109375" style="310" customWidth="1"/>
    <col min="14082" max="14082" width="11.7109375" style="310" bestFit="1" customWidth="1"/>
    <col min="14083" max="14083" width="8.28515625" style="310" customWidth="1"/>
    <col min="14084" max="14085" width="0" style="310" hidden="1" customWidth="1"/>
    <col min="14086" max="14086" width="21.7109375" style="310" customWidth="1"/>
    <col min="14087" max="14087" width="0" style="310" hidden="1" customWidth="1"/>
    <col min="14088" max="14088" width="22.85546875" style="310" customWidth="1"/>
    <col min="14089" max="14089" width="0" style="310" hidden="1" customWidth="1"/>
    <col min="14090" max="14090" width="15.28515625" style="310" customWidth="1"/>
    <col min="14091" max="14091" width="9.140625" style="310"/>
    <col min="14092" max="14097" width="0" style="310" hidden="1" customWidth="1"/>
    <col min="14098" max="14333" width="9.140625" style="310"/>
    <col min="14334" max="14334" width="1.85546875" style="310" customWidth="1"/>
    <col min="14335" max="14335" width="4.28515625" style="310" customWidth="1"/>
    <col min="14336" max="14336" width="10.42578125" style="310" customWidth="1"/>
    <col min="14337" max="14337" width="21.7109375" style="310" customWidth="1"/>
    <col min="14338" max="14338" width="11.7109375" style="310" bestFit="1" customWidth="1"/>
    <col min="14339" max="14339" width="8.28515625" style="310" customWidth="1"/>
    <col min="14340" max="14341" width="0" style="310" hidden="1" customWidth="1"/>
    <col min="14342" max="14342" width="21.7109375" style="310" customWidth="1"/>
    <col min="14343" max="14343" width="0" style="310" hidden="1" customWidth="1"/>
    <col min="14344" max="14344" width="22.85546875" style="310" customWidth="1"/>
    <col min="14345" max="14345" width="0" style="310" hidden="1" customWidth="1"/>
    <col min="14346" max="14346" width="15.28515625" style="310" customWidth="1"/>
    <col min="14347" max="14347" width="9.140625" style="310"/>
    <col min="14348" max="14353" width="0" style="310" hidden="1" customWidth="1"/>
    <col min="14354" max="14589" width="9.140625" style="310"/>
    <col min="14590" max="14590" width="1.85546875" style="310" customWidth="1"/>
    <col min="14591" max="14591" width="4.28515625" style="310" customWidth="1"/>
    <col min="14592" max="14592" width="10.42578125" style="310" customWidth="1"/>
    <col min="14593" max="14593" width="21.7109375" style="310" customWidth="1"/>
    <col min="14594" max="14594" width="11.7109375" style="310" bestFit="1" customWidth="1"/>
    <col min="14595" max="14595" width="8.28515625" style="310" customWidth="1"/>
    <col min="14596" max="14597" width="0" style="310" hidden="1" customWidth="1"/>
    <col min="14598" max="14598" width="21.7109375" style="310" customWidth="1"/>
    <col min="14599" max="14599" width="0" style="310" hidden="1" customWidth="1"/>
    <col min="14600" max="14600" width="22.85546875" style="310" customWidth="1"/>
    <col min="14601" max="14601" width="0" style="310" hidden="1" customWidth="1"/>
    <col min="14602" max="14602" width="15.28515625" style="310" customWidth="1"/>
    <col min="14603" max="14603" width="9.140625" style="310"/>
    <col min="14604" max="14609" width="0" style="310" hidden="1" customWidth="1"/>
    <col min="14610" max="14845" width="9.140625" style="310"/>
    <col min="14846" max="14846" width="1.85546875" style="310" customWidth="1"/>
    <col min="14847" max="14847" width="4.28515625" style="310" customWidth="1"/>
    <col min="14848" max="14848" width="10.42578125" style="310" customWidth="1"/>
    <col min="14849" max="14849" width="21.7109375" style="310" customWidth="1"/>
    <col min="14850" max="14850" width="11.7109375" style="310" bestFit="1" customWidth="1"/>
    <col min="14851" max="14851" width="8.28515625" style="310" customWidth="1"/>
    <col min="14852" max="14853" width="0" style="310" hidden="1" customWidth="1"/>
    <col min="14854" max="14854" width="21.7109375" style="310" customWidth="1"/>
    <col min="14855" max="14855" width="0" style="310" hidden="1" customWidth="1"/>
    <col min="14856" max="14856" width="22.85546875" style="310" customWidth="1"/>
    <col min="14857" max="14857" width="0" style="310" hidden="1" customWidth="1"/>
    <col min="14858" max="14858" width="15.28515625" style="310" customWidth="1"/>
    <col min="14859" max="14859" width="9.140625" style="310"/>
    <col min="14860" max="14865" width="0" style="310" hidden="1" customWidth="1"/>
    <col min="14866" max="15101" width="9.140625" style="310"/>
    <col min="15102" max="15102" width="1.85546875" style="310" customWidth="1"/>
    <col min="15103" max="15103" width="4.28515625" style="310" customWidth="1"/>
    <col min="15104" max="15104" width="10.42578125" style="310" customWidth="1"/>
    <col min="15105" max="15105" width="21.7109375" style="310" customWidth="1"/>
    <col min="15106" max="15106" width="11.7109375" style="310" bestFit="1" customWidth="1"/>
    <col min="15107" max="15107" width="8.28515625" style="310" customWidth="1"/>
    <col min="15108" max="15109" width="0" style="310" hidden="1" customWidth="1"/>
    <col min="15110" max="15110" width="21.7109375" style="310" customWidth="1"/>
    <col min="15111" max="15111" width="0" style="310" hidden="1" customWidth="1"/>
    <col min="15112" max="15112" width="22.85546875" style="310" customWidth="1"/>
    <col min="15113" max="15113" width="0" style="310" hidden="1" customWidth="1"/>
    <col min="15114" max="15114" width="15.28515625" style="310" customWidth="1"/>
    <col min="15115" max="15115" width="9.140625" style="310"/>
    <col min="15116" max="15121" width="0" style="310" hidden="1" customWidth="1"/>
    <col min="15122" max="15357" width="9.140625" style="310"/>
    <col min="15358" max="15358" width="1.85546875" style="310" customWidth="1"/>
    <col min="15359" max="15359" width="4.28515625" style="310" customWidth="1"/>
    <col min="15360" max="15360" width="10.42578125" style="310" customWidth="1"/>
    <col min="15361" max="15361" width="21.7109375" style="310" customWidth="1"/>
    <col min="15362" max="15362" width="11.7109375" style="310" bestFit="1" customWidth="1"/>
    <col min="15363" max="15363" width="8.28515625" style="310" customWidth="1"/>
    <col min="15364" max="15365" width="0" style="310" hidden="1" customWidth="1"/>
    <col min="15366" max="15366" width="21.7109375" style="310" customWidth="1"/>
    <col min="15367" max="15367" width="0" style="310" hidden="1" customWidth="1"/>
    <col min="15368" max="15368" width="22.85546875" style="310" customWidth="1"/>
    <col min="15369" max="15369" width="0" style="310" hidden="1" customWidth="1"/>
    <col min="15370" max="15370" width="15.28515625" style="310" customWidth="1"/>
    <col min="15371" max="15371" width="9.140625" style="310"/>
    <col min="15372" max="15377" width="0" style="310" hidden="1" customWidth="1"/>
    <col min="15378" max="15613" width="9.140625" style="310"/>
    <col min="15614" max="15614" width="1.85546875" style="310" customWidth="1"/>
    <col min="15615" max="15615" width="4.28515625" style="310" customWidth="1"/>
    <col min="15616" max="15616" width="10.42578125" style="310" customWidth="1"/>
    <col min="15617" max="15617" width="21.7109375" style="310" customWidth="1"/>
    <col min="15618" max="15618" width="11.7109375" style="310" bestFit="1" customWidth="1"/>
    <col min="15619" max="15619" width="8.28515625" style="310" customWidth="1"/>
    <col min="15620" max="15621" width="0" style="310" hidden="1" customWidth="1"/>
    <col min="15622" max="15622" width="21.7109375" style="310" customWidth="1"/>
    <col min="15623" max="15623" width="0" style="310" hidden="1" customWidth="1"/>
    <col min="15624" max="15624" width="22.85546875" style="310" customWidth="1"/>
    <col min="15625" max="15625" width="0" style="310" hidden="1" customWidth="1"/>
    <col min="15626" max="15626" width="15.28515625" style="310" customWidth="1"/>
    <col min="15627" max="15627" width="9.140625" style="310"/>
    <col min="15628" max="15633" width="0" style="310" hidden="1" customWidth="1"/>
    <col min="15634" max="15869" width="9.140625" style="310"/>
    <col min="15870" max="15870" width="1.85546875" style="310" customWidth="1"/>
    <col min="15871" max="15871" width="4.28515625" style="310" customWidth="1"/>
    <col min="15872" max="15872" width="10.42578125" style="310" customWidth="1"/>
    <col min="15873" max="15873" width="21.7109375" style="310" customWidth="1"/>
    <col min="15874" max="15874" width="11.7109375" style="310" bestFit="1" customWidth="1"/>
    <col min="15875" max="15875" width="8.28515625" style="310" customWidth="1"/>
    <col min="15876" max="15877" width="0" style="310" hidden="1" customWidth="1"/>
    <col min="15878" max="15878" width="21.7109375" style="310" customWidth="1"/>
    <col min="15879" max="15879" width="0" style="310" hidden="1" customWidth="1"/>
    <col min="15880" max="15880" width="22.85546875" style="310" customWidth="1"/>
    <col min="15881" max="15881" width="0" style="310" hidden="1" customWidth="1"/>
    <col min="15882" max="15882" width="15.28515625" style="310" customWidth="1"/>
    <col min="15883" max="15883" width="9.140625" style="310"/>
    <col min="15884" max="15889" width="0" style="310" hidden="1" customWidth="1"/>
    <col min="15890" max="16125" width="9.140625" style="310"/>
    <col min="16126" max="16126" width="1.85546875" style="310" customWidth="1"/>
    <col min="16127" max="16127" width="4.28515625" style="310" customWidth="1"/>
    <col min="16128" max="16128" width="10.42578125" style="310" customWidth="1"/>
    <col min="16129" max="16129" width="21.7109375" style="310" customWidth="1"/>
    <col min="16130" max="16130" width="11.7109375" style="310" bestFit="1" customWidth="1"/>
    <col min="16131" max="16131" width="8.28515625" style="310" customWidth="1"/>
    <col min="16132" max="16133" width="0" style="310" hidden="1" customWidth="1"/>
    <col min="16134" max="16134" width="21.7109375" style="310" customWidth="1"/>
    <col min="16135" max="16135" width="0" style="310" hidden="1" customWidth="1"/>
    <col min="16136" max="16136" width="22.85546875" style="310" customWidth="1"/>
    <col min="16137" max="16137" width="0" style="310" hidden="1" customWidth="1"/>
    <col min="16138" max="16138" width="15.28515625" style="310" customWidth="1"/>
    <col min="16139" max="16139" width="9.140625" style="310"/>
    <col min="16140" max="16145" width="0" style="310" hidden="1" customWidth="1"/>
    <col min="16146" max="16384" width="9.140625" style="310"/>
  </cols>
  <sheetData>
    <row r="1" spans="2:14" ht="13.5" thickBot="1" x14ac:dyDescent="0.25"/>
    <row r="2" spans="2:14" x14ac:dyDescent="0.2">
      <c r="B2" s="793" t="s">
        <v>536</v>
      </c>
      <c r="C2" s="794"/>
      <c r="D2" s="795"/>
      <c r="E2" s="311"/>
      <c r="F2" s="311"/>
      <c r="G2" s="311"/>
      <c r="H2" s="311"/>
      <c r="I2" s="312"/>
      <c r="J2" s="311"/>
      <c r="K2" s="313" t="s">
        <v>448</v>
      </c>
    </row>
    <row r="3" spans="2:14" x14ac:dyDescent="0.2">
      <c r="B3" s="314" t="s">
        <v>537</v>
      </c>
      <c r="D3" s="315"/>
      <c r="E3" s="796" t="s">
        <v>538</v>
      </c>
      <c r="F3" s="782"/>
      <c r="G3" s="782"/>
      <c r="H3" s="782"/>
      <c r="I3" s="783"/>
      <c r="K3" s="316"/>
    </row>
    <row r="4" spans="2:14" x14ac:dyDescent="0.2">
      <c r="B4" s="317" t="s">
        <v>539</v>
      </c>
      <c r="D4" s="315"/>
      <c r="E4" s="796" t="s">
        <v>540</v>
      </c>
      <c r="F4" s="782"/>
      <c r="G4" s="782"/>
      <c r="H4" s="782"/>
      <c r="I4" s="783"/>
      <c r="K4" s="394" t="s">
        <v>451</v>
      </c>
    </row>
    <row r="5" spans="2:14" x14ac:dyDescent="0.2">
      <c r="B5" s="317" t="s">
        <v>458</v>
      </c>
      <c r="D5" s="315"/>
      <c r="E5" s="782" t="s">
        <v>541</v>
      </c>
      <c r="F5" s="782"/>
      <c r="G5" s="782"/>
      <c r="H5" s="782"/>
      <c r="I5" s="783"/>
      <c r="K5" s="394" t="s">
        <v>454</v>
      </c>
    </row>
    <row r="6" spans="2:14" x14ac:dyDescent="0.2">
      <c r="B6" s="317"/>
      <c r="D6" s="315"/>
      <c r="E6" s="796" t="s">
        <v>459</v>
      </c>
      <c r="F6" s="782"/>
      <c r="G6" s="782"/>
      <c r="H6" s="782"/>
      <c r="I6" s="783"/>
      <c r="K6" s="394" t="s">
        <v>457</v>
      </c>
    </row>
    <row r="7" spans="2:14" x14ac:dyDescent="0.2">
      <c r="B7" s="318"/>
      <c r="C7" s="319"/>
      <c r="D7" s="320"/>
      <c r="E7" s="782" t="s">
        <v>541</v>
      </c>
      <c r="F7" s="782"/>
      <c r="G7" s="782"/>
      <c r="H7" s="782"/>
      <c r="I7" s="783"/>
      <c r="K7" s="321" t="s">
        <v>45</v>
      </c>
    </row>
    <row r="8" spans="2:14" x14ac:dyDescent="0.2">
      <c r="B8" s="322" t="s">
        <v>463</v>
      </c>
      <c r="C8" s="323"/>
      <c r="D8" s="324"/>
      <c r="I8" s="325"/>
      <c r="K8" s="316"/>
    </row>
    <row r="9" spans="2:14" x14ac:dyDescent="0.2">
      <c r="B9" s="317"/>
      <c r="D9" s="315"/>
      <c r="E9" s="782" t="s">
        <v>618</v>
      </c>
      <c r="F9" s="782"/>
      <c r="G9" s="782"/>
      <c r="H9" s="782"/>
      <c r="I9" s="783"/>
      <c r="K9" s="316"/>
    </row>
    <row r="10" spans="2:14" x14ac:dyDescent="0.2">
      <c r="B10" s="326" t="s">
        <v>45</v>
      </c>
      <c r="C10" s="310" t="s">
        <v>45</v>
      </c>
      <c r="D10" s="315"/>
      <c r="I10" s="325"/>
      <c r="K10" s="316"/>
    </row>
    <row r="11" spans="2:14" ht="24.6" customHeight="1" thickBot="1" x14ac:dyDescent="0.25">
      <c r="B11" s="327"/>
      <c r="C11" s="328"/>
      <c r="D11" s="329"/>
      <c r="E11" s="328"/>
      <c r="F11" s="328"/>
      <c r="G11" s="328"/>
      <c r="H11" s="328"/>
      <c r="I11" s="330"/>
      <c r="J11" s="328"/>
      <c r="K11" s="331" t="s">
        <v>542</v>
      </c>
    </row>
    <row r="12" spans="2:14" ht="13.5" hidden="1" thickBot="1" x14ac:dyDescent="0.25">
      <c r="B12" s="327"/>
      <c r="C12" s="328"/>
      <c r="D12" s="330"/>
      <c r="E12" s="332"/>
      <c r="F12" s="328"/>
      <c r="G12" s="328"/>
      <c r="H12" s="328"/>
      <c r="I12" s="330"/>
      <c r="J12" s="328"/>
      <c r="K12" s="333"/>
    </row>
    <row r="13" spans="2:14" s="337" customFormat="1" ht="34.5" customHeight="1" thickBot="1" x14ac:dyDescent="0.25">
      <c r="B13" s="334"/>
      <c r="C13" s="335"/>
      <c r="D13" s="335"/>
      <c r="E13" s="335"/>
      <c r="F13" s="335"/>
      <c r="G13" s="336"/>
      <c r="I13" s="338" t="s">
        <v>543</v>
      </c>
      <c r="J13" s="339"/>
      <c r="K13" s="338" t="s">
        <v>544</v>
      </c>
      <c r="N13" s="439"/>
    </row>
    <row r="14" spans="2:14" ht="13.5" hidden="1" thickBot="1" x14ac:dyDescent="0.25">
      <c r="I14" s="340"/>
      <c r="J14" s="341"/>
      <c r="K14" s="340"/>
    </row>
    <row r="15" spans="2:14" ht="13.5" hidden="1" thickBot="1" x14ac:dyDescent="0.25">
      <c r="I15" s="342"/>
      <c r="J15" s="343"/>
      <c r="K15" s="342"/>
    </row>
    <row r="16" spans="2:14" s="350" customFormat="1" ht="20.25" customHeight="1" x14ac:dyDescent="0.2">
      <c r="B16" s="344" t="s">
        <v>158</v>
      </c>
      <c r="C16" s="345" t="s">
        <v>159</v>
      </c>
      <c r="D16" s="346"/>
      <c r="E16" s="346"/>
      <c r="F16" s="346"/>
      <c r="G16" s="346"/>
      <c r="H16" s="347"/>
      <c r="I16" s="348">
        <f>I17+I19+I23</f>
        <v>19835911.73</v>
      </c>
      <c r="J16" s="349">
        <f>J17+J19+J23</f>
        <v>0</v>
      </c>
      <c r="K16" s="764">
        <f>K17+K19+K23</f>
        <v>18490656.010000002</v>
      </c>
      <c r="M16" s="351"/>
      <c r="N16" s="440"/>
    </row>
    <row r="17" spans="2:14" ht="20.100000000000001" customHeight="1" x14ac:dyDescent="0.2">
      <c r="B17" s="318" t="s">
        <v>136</v>
      </c>
      <c r="C17" s="352" t="s">
        <v>160</v>
      </c>
      <c r="D17" s="341"/>
      <c r="E17" s="341"/>
      <c r="F17" s="341"/>
      <c r="G17" s="341"/>
      <c r="H17" s="353"/>
      <c r="I17" s="354">
        <v>9050516.0999999996</v>
      </c>
      <c r="J17" s="355"/>
      <c r="K17" s="765">
        <v>8458758.1600000001</v>
      </c>
      <c r="M17" s="351"/>
    </row>
    <row r="18" spans="2:14" ht="26.25" hidden="1" customHeight="1" x14ac:dyDescent="0.2">
      <c r="B18" s="357" t="s">
        <v>124</v>
      </c>
      <c r="C18" s="784" t="s">
        <v>545</v>
      </c>
      <c r="D18" s="785"/>
      <c r="E18" s="785"/>
      <c r="F18" s="785"/>
      <c r="G18" s="785"/>
      <c r="H18" s="353"/>
      <c r="I18" s="354">
        <v>0</v>
      </c>
      <c r="J18" s="355"/>
      <c r="K18" s="765">
        <v>0</v>
      </c>
      <c r="M18" s="351"/>
    </row>
    <row r="19" spans="2:14" ht="26.25" customHeight="1" x14ac:dyDescent="0.2">
      <c r="B19" s="318" t="s">
        <v>140</v>
      </c>
      <c r="C19" s="786" t="s">
        <v>546</v>
      </c>
      <c r="D19" s="787"/>
      <c r="E19" s="787"/>
      <c r="F19" s="787"/>
      <c r="G19" s="787"/>
      <c r="H19" s="353"/>
      <c r="I19" s="354">
        <v>1105.8</v>
      </c>
      <c r="J19" s="355">
        <v>0</v>
      </c>
      <c r="K19" s="765">
        <v>33390.97</v>
      </c>
      <c r="L19" s="310">
        <v>0</v>
      </c>
      <c r="M19" s="351"/>
    </row>
    <row r="20" spans="2:14" ht="20.100000000000001" customHeight="1" x14ac:dyDescent="0.2">
      <c r="B20" s="318" t="s">
        <v>167</v>
      </c>
      <c r="C20" s="352" t="s">
        <v>547</v>
      </c>
      <c r="D20" s="341"/>
      <c r="E20" s="341"/>
      <c r="F20" s="341"/>
      <c r="G20" s="341"/>
      <c r="H20" s="353"/>
      <c r="I20" s="354">
        <v>0</v>
      </c>
      <c r="J20" s="355"/>
      <c r="K20" s="765">
        <v>0</v>
      </c>
      <c r="M20" s="351"/>
    </row>
    <row r="21" spans="2:14" ht="20.100000000000001" customHeight="1" x14ac:dyDescent="0.2">
      <c r="B21" s="318" t="s">
        <v>161</v>
      </c>
      <c r="C21" s="352" t="s">
        <v>548</v>
      </c>
      <c r="D21" s="341"/>
      <c r="E21" s="341"/>
      <c r="F21" s="341"/>
      <c r="G21" s="341"/>
      <c r="H21" s="353"/>
      <c r="I21" s="354">
        <v>0</v>
      </c>
      <c r="J21" s="355"/>
      <c r="K21" s="765">
        <v>0</v>
      </c>
      <c r="M21" s="351"/>
    </row>
    <row r="22" spans="2:14" ht="20.100000000000001" customHeight="1" x14ac:dyDescent="0.2">
      <c r="B22" s="318" t="s">
        <v>170</v>
      </c>
      <c r="C22" s="358" t="s">
        <v>549</v>
      </c>
      <c r="D22" s="359"/>
      <c r="E22" s="359"/>
      <c r="F22" s="359"/>
      <c r="G22" s="359"/>
      <c r="H22" s="360"/>
      <c r="I22" s="361">
        <v>0</v>
      </c>
      <c r="J22" s="362"/>
      <c r="K22" s="765">
        <v>0</v>
      </c>
      <c r="M22" s="351"/>
    </row>
    <row r="23" spans="2:14" ht="20.100000000000001" customHeight="1" x14ac:dyDescent="0.2">
      <c r="B23" s="318" t="s">
        <v>79</v>
      </c>
      <c r="C23" s="358" t="s">
        <v>162</v>
      </c>
      <c r="D23" s="359"/>
      <c r="E23" s="359"/>
      <c r="F23" s="359"/>
      <c r="G23" s="359"/>
      <c r="H23" s="360"/>
      <c r="I23" s="361">
        <v>10784289.83</v>
      </c>
      <c r="J23" s="362">
        <v>0</v>
      </c>
      <c r="K23" s="765">
        <v>9998506.8800000008</v>
      </c>
      <c r="L23" s="310">
        <v>0</v>
      </c>
      <c r="M23" s="351"/>
    </row>
    <row r="24" spans="2:14" s="350" customFormat="1" ht="21.75" customHeight="1" x14ac:dyDescent="0.2">
      <c r="B24" s="363" t="s">
        <v>163</v>
      </c>
      <c r="C24" s="788" t="s">
        <v>164</v>
      </c>
      <c r="D24" s="789"/>
      <c r="E24" s="789"/>
      <c r="F24" s="789"/>
      <c r="G24" s="789"/>
      <c r="H24" s="364"/>
      <c r="I24" s="365">
        <f>SUM(I25:I34)</f>
        <v>170464272.30000001</v>
      </c>
      <c r="J24" s="366">
        <f>SUM(J25:J33)</f>
        <v>141856403.76999998</v>
      </c>
      <c r="K24" s="766">
        <f>SUM(K25:K34)</f>
        <v>108876744.78</v>
      </c>
      <c r="M24" s="351"/>
      <c r="N24" s="440"/>
    </row>
    <row r="25" spans="2:14" ht="20.100000000000001" customHeight="1" x14ac:dyDescent="0.2">
      <c r="B25" s="318" t="s">
        <v>136</v>
      </c>
      <c r="C25" s="358" t="s">
        <v>165</v>
      </c>
      <c r="D25" s="359"/>
      <c r="E25" s="359"/>
      <c r="F25" s="359"/>
      <c r="G25" s="359"/>
      <c r="H25" s="360"/>
      <c r="I25" s="361">
        <v>11347398.57</v>
      </c>
      <c r="J25" s="367">
        <v>5099859.4800000004</v>
      </c>
      <c r="K25" s="765">
        <v>11288999.02</v>
      </c>
      <c r="L25" s="310">
        <v>0</v>
      </c>
      <c r="M25" s="351"/>
    </row>
    <row r="26" spans="2:14" ht="20.100000000000001" customHeight="1" x14ac:dyDescent="0.2">
      <c r="B26" s="318" t="s">
        <v>140</v>
      </c>
      <c r="C26" s="358" t="s">
        <v>166</v>
      </c>
      <c r="D26" s="359"/>
      <c r="E26" s="359"/>
      <c r="F26" s="359"/>
      <c r="G26" s="359"/>
      <c r="H26" s="360"/>
      <c r="I26" s="361">
        <v>3554112.25</v>
      </c>
      <c r="J26" s="368">
        <v>1786974.38</v>
      </c>
      <c r="K26" s="765">
        <v>4651397.67</v>
      </c>
      <c r="L26" s="310">
        <v>0</v>
      </c>
      <c r="M26" s="351"/>
    </row>
    <row r="27" spans="2:14" ht="20.100000000000001" customHeight="1" x14ac:dyDescent="0.2">
      <c r="B27" s="318" t="s">
        <v>167</v>
      </c>
      <c r="C27" s="358" t="s">
        <v>168</v>
      </c>
      <c r="D27" s="359"/>
      <c r="E27" s="359"/>
      <c r="F27" s="359"/>
      <c r="G27" s="359"/>
      <c r="H27" s="360"/>
      <c r="I27" s="361">
        <v>22321841.34</v>
      </c>
      <c r="J27" s="367">
        <v>16823641.969999999</v>
      </c>
      <c r="K27" s="765">
        <v>25244149.77</v>
      </c>
      <c r="L27" s="310">
        <v>0</v>
      </c>
      <c r="M27" s="351" t="s">
        <v>45</v>
      </c>
    </row>
    <row r="28" spans="2:14" ht="20.100000000000001" customHeight="1" x14ac:dyDescent="0.2">
      <c r="B28" s="318" t="s">
        <v>161</v>
      </c>
      <c r="C28" s="358" t="s">
        <v>169</v>
      </c>
      <c r="D28" s="359"/>
      <c r="E28" s="359"/>
      <c r="F28" s="359"/>
      <c r="G28" s="359"/>
      <c r="H28" s="360"/>
      <c r="I28" s="361">
        <v>1361085.77</v>
      </c>
      <c r="J28" s="367">
        <v>1157323.69</v>
      </c>
      <c r="K28" s="765">
        <v>1193157.2</v>
      </c>
      <c r="M28" s="351"/>
    </row>
    <row r="29" spans="2:14" ht="20.100000000000001" customHeight="1" x14ac:dyDescent="0.2">
      <c r="B29" s="318" t="s">
        <v>170</v>
      </c>
      <c r="C29" s="358" t="s">
        <v>171</v>
      </c>
      <c r="D29" s="359"/>
      <c r="E29" s="359"/>
      <c r="F29" s="359"/>
      <c r="G29" s="359"/>
      <c r="H29" s="360"/>
      <c r="I29" s="361">
        <v>32041427.039999999</v>
      </c>
      <c r="J29" s="367">
        <v>29392302.710000001</v>
      </c>
      <c r="K29" s="765">
        <v>37044442.090000004</v>
      </c>
      <c r="M29" s="351" t="s">
        <v>45</v>
      </c>
    </row>
    <row r="30" spans="2:14" ht="20.100000000000001" customHeight="1" x14ac:dyDescent="0.2">
      <c r="B30" s="318" t="s">
        <v>79</v>
      </c>
      <c r="C30" s="358" t="s">
        <v>172</v>
      </c>
      <c r="D30" s="359"/>
      <c r="E30" s="359"/>
      <c r="F30" s="359"/>
      <c r="G30" s="359"/>
      <c r="H30" s="360"/>
      <c r="I30" s="361">
        <v>5922116.0700000003</v>
      </c>
      <c r="J30" s="367">
        <v>6383187.4000000004</v>
      </c>
      <c r="K30" s="765">
        <v>6993925.5199999996</v>
      </c>
      <c r="M30" s="351"/>
    </row>
    <row r="31" spans="2:14" ht="21.6" customHeight="1" x14ac:dyDescent="0.2">
      <c r="B31" s="318" t="s">
        <v>173</v>
      </c>
      <c r="C31" s="358" t="s">
        <v>174</v>
      </c>
      <c r="D31" s="359"/>
      <c r="E31" s="359"/>
      <c r="F31" s="359"/>
      <c r="G31" s="359"/>
      <c r="H31" s="360"/>
      <c r="I31" s="369">
        <f>93915846.26-I33+445</f>
        <v>980062.29000000656</v>
      </c>
      <c r="J31" s="367">
        <v>100340.4</v>
      </c>
      <c r="K31" s="767">
        <f>22460673.51-K33</f>
        <v>2240344.7900000028</v>
      </c>
      <c r="M31" s="351"/>
    </row>
    <row r="32" spans="2:14" ht="20.100000000000001" customHeight="1" x14ac:dyDescent="0.2">
      <c r="B32" s="370" t="s">
        <v>175</v>
      </c>
      <c r="C32" s="358" t="s">
        <v>176</v>
      </c>
      <c r="D32" s="359"/>
      <c r="E32" s="359"/>
      <c r="F32" s="359"/>
      <c r="G32" s="359"/>
      <c r="H32" s="360"/>
      <c r="I32" s="361">
        <v>0</v>
      </c>
      <c r="J32" s="367">
        <v>81112773.739999995</v>
      </c>
      <c r="K32" s="765">
        <v>0</v>
      </c>
      <c r="L32" s="310">
        <v>0</v>
      </c>
      <c r="M32" s="351"/>
    </row>
    <row r="33" spans="2:23" ht="20.100000000000001" customHeight="1" x14ac:dyDescent="0.2">
      <c r="B33" s="318" t="s">
        <v>153</v>
      </c>
      <c r="C33" s="358" t="s">
        <v>154</v>
      </c>
      <c r="D33" s="359"/>
      <c r="E33" s="359"/>
      <c r="F33" s="359"/>
      <c r="G33" s="359"/>
      <c r="H33" s="360"/>
      <c r="I33" s="369">
        <f>92936228.97</f>
        <v>92936228.969999999</v>
      </c>
      <c r="J33" s="371"/>
      <c r="K33" s="767">
        <v>20220328.719999999</v>
      </c>
      <c r="M33" s="351"/>
    </row>
    <row r="34" spans="2:23" ht="20.100000000000001" customHeight="1" x14ac:dyDescent="0.2">
      <c r="B34" s="318" t="s">
        <v>177</v>
      </c>
      <c r="C34" s="352" t="s">
        <v>178</v>
      </c>
      <c r="D34" s="341"/>
      <c r="E34" s="341"/>
      <c r="F34" s="341"/>
      <c r="G34" s="341"/>
      <c r="H34" s="353"/>
      <c r="I34" s="354">
        <v>0</v>
      </c>
      <c r="J34" s="372">
        <f>J17-J24</f>
        <v>-141856403.76999998</v>
      </c>
      <c r="K34" s="765">
        <v>0</v>
      </c>
      <c r="M34" s="351"/>
    </row>
    <row r="35" spans="2:23" s="350" customFormat="1" ht="22.5" customHeight="1" x14ac:dyDescent="0.2">
      <c r="B35" s="373" t="s">
        <v>550</v>
      </c>
      <c r="C35" s="374" t="s">
        <v>551</v>
      </c>
      <c r="D35" s="375"/>
      <c r="E35" s="375"/>
      <c r="F35" s="375"/>
      <c r="G35" s="375"/>
      <c r="H35" s="376"/>
      <c r="I35" s="377">
        <f>I16-I24</f>
        <v>-150628360.57000002</v>
      </c>
      <c r="J35" s="372">
        <f>SUM(J36:J38)</f>
        <v>58749674.479999997</v>
      </c>
      <c r="K35" s="766">
        <f>K16-K24</f>
        <v>-90386088.769999996</v>
      </c>
      <c r="M35" s="351"/>
      <c r="N35" s="440"/>
    </row>
    <row r="36" spans="2:23" s="350" customFormat="1" ht="21.75" customHeight="1" x14ac:dyDescent="0.2">
      <c r="B36" s="373" t="s">
        <v>179</v>
      </c>
      <c r="C36" s="374" t="s">
        <v>180</v>
      </c>
      <c r="D36" s="375"/>
      <c r="E36" s="375"/>
      <c r="F36" s="375"/>
      <c r="G36" s="375"/>
      <c r="H36" s="376"/>
      <c r="I36" s="377">
        <f>SUM(I37:I39)</f>
        <v>12045766.440000001</v>
      </c>
      <c r="J36" s="378"/>
      <c r="K36" s="766">
        <f>SUM(K37:K39)</f>
        <v>5681228.1799999997</v>
      </c>
      <c r="M36" s="351"/>
      <c r="N36" s="440"/>
    </row>
    <row r="37" spans="2:23" ht="20.100000000000001" customHeight="1" x14ac:dyDescent="0.2">
      <c r="B37" s="318" t="s">
        <v>136</v>
      </c>
      <c r="C37" s="352" t="s">
        <v>552</v>
      </c>
      <c r="D37" s="341"/>
      <c r="E37" s="341"/>
      <c r="F37" s="341"/>
      <c r="G37" s="341"/>
      <c r="H37" s="353"/>
      <c r="I37" s="354">
        <v>10000143.800000001</v>
      </c>
      <c r="J37" s="378"/>
      <c r="K37" s="765">
        <v>2668563.9500000002</v>
      </c>
      <c r="M37" s="351"/>
    </row>
    <row r="38" spans="2:23" ht="16.5" customHeight="1" x14ac:dyDescent="0.2">
      <c r="B38" s="318" t="s">
        <v>140</v>
      </c>
      <c r="C38" s="352" t="s">
        <v>318</v>
      </c>
      <c r="D38" s="341"/>
      <c r="E38" s="341"/>
      <c r="F38" s="341"/>
      <c r="G38" s="341"/>
      <c r="H38" s="353"/>
      <c r="I38" s="354">
        <v>0</v>
      </c>
      <c r="J38" s="367">
        <v>58749674.479999997</v>
      </c>
      <c r="K38" s="354">
        <v>0</v>
      </c>
      <c r="M38" s="351"/>
    </row>
    <row r="39" spans="2:23" ht="20.100000000000001" customHeight="1" x14ac:dyDescent="0.2">
      <c r="B39" s="318" t="s">
        <v>167</v>
      </c>
      <c r="C39" s="352" t="s">
        <v>181</v>
      </c>
      <c r="D39" s="341"/>
      <c r="E39" s="341"/>
      <c r="F39" s="341"/>
      <c r="G39" s="341"/>
      <c r="H39" s="353"/>
      <c r="I39" s="354">
        <v>2045622.64</v>
      </c>
      <c r="J39" s="372">
        <f>J41+J40</f>
        <v>53128553.509999998</v>
      </c>
      <c r="K39" s="354">
        <f>88512.75+2924151.48</f>
        <v>3012664.23</v>
      </c>
      <c r="M39" s="351"/>
      <c r="P39" s="356"/>
    </row>
    <row r="40" spans="2:23" s="350" customFormat="1" ht="24.75" customHeight="1" x14ac:dyDescent="0.2">
      <c r="B40" s="373" t="s">
        <v>182</v>
      </c>
      <c r="C40" s="374" t="s">
        <v>85</v>
      </c>
      <c r="D40" s="375"/>
      <c r="E40" s="375"/>
      <c r="F40" s="375"/>
      <c r="G40" s="375"/>
      <c r="H40" s="376"/>
      <c r="I40" s="377">
        <f>SUM(I41:I42)</f>
        <v>5552712.6799999997</v>
      </c>
      <c r="J40" s="379"/>
      <c r="K40" s="377">
        <f>SUM(K41:K42)</f>
        <v>1331013.3900000001</v>
      </c>
      <c r="M40" s="351"/>
      <c r="N40" s="440"/>
      <c r="W40" s="351"/>
    </row>
    <row r="41" spans="2:23" ht="52.5" customHeight="1" x14ac:dyDescent="0.2">
      <c r="B41" s="318" t="s">
        <v>136</v>
      </c>
      <c r="C41" s="786" t="s">
        <v>553</v>
      </c>
      <c r="D41" s="787"/>
      <c r="E41" s="787"/>
      <c r="F41" s="787"/>
      <c r="G41" s="787"/>
      <c r="H41" s="353"/>
      <c r="I41" s="354">
        <v>0</v>
      </c>
      <c r="J41" s="380">
        <v>53128553.509999998</v>
      </c>
      <c r="K41" s="354">
        <v>0</v>
      </c>
      <c r="M41" s="351"/>
    </row>
    <row r="42" spans="2:23" ht="21" customHeight="1" x14ac:dyDescent="0.2">
      <c r="B42" s="318" t="s">
        <v>140</v>
      </c>
      <c r="C42" s="352" t="s">
        <v>85</v>
      </c>
      <c r="D42" s="341"/>
      <c r="E42" s="341"/>
      <c r="F42" s="341"/>
      <c r="G42" s="341"/>
      <c r="H42" s="353"/>
      <c r="I42" s="354">
        <v>5552712.6799999997</v>
      </c>
      <c r="J42" s="372">
        <f>J34+J35-J39</f>
        <v>-136235282.79999998</v>
      </c>
      <c r="K42" s="354">
        <f>424016.02-36890.72+943888.09</f>
        <v>1331013.3900000001</v>
      </c>
      <c r="M42" s="351"/>
    </row>
    <row r="43" spans="2:23" s="350" customFormat="1" ht="23.25" customHeight="1" x14ac:dyDescent="0.2">
      <c r="B43" s="373" t="s">
        <v>554</v>
      </c>
      <c r="C43" s="374" t="s">
        <v>555</v>
      </c>
      <c r="D43" s="375"/>
      <c r="E43" s="375"/>
      <c r="F43" s="375"/>
      <c r="G43" s="375"/>
      <c r="H43" s="376"/>
      <c r="I43" s="377">
        <f>I35+I36-I40</f>
        <v>-144135306.81000003</v>
      </c>
      <c r="J43" s="372">
        <f>SUM(J44:J46)</f>
        <v>0</v>
      </c>
      <c r="K43" s="377">
        <f>K35+K36-K40</f>
        <v>-86035873.980000004</v>
      </c>
      <c r="M43" s="351"/>
      <c r="N43" s="440"/>
    </row>
    <row r="44" spans="2:23" s="350" customFormat="1" ht="21" customHeight="1" x14ac:dyDescent="0.2">
      <c r="B44" s="373" t="s">
        <v>183</v>
      </c>
      <c r="C44" s="374" t="s">
        <v>86</v>
      </c>
      <c r="D44" s="375"/>
      <c r="E44" s="375"/>
      <c r="F44" s="375"/>
      <c r="G44" s="375"/>
      <c r="H44" s="376"/>
      <c r="I44" s="377">
        <f>SUM(I45:I47)</f>
        <v>2790061.49</v>
      </c>
      <c r="J44" s="378"/>
      <c r="K44" s="377">
        <f>SUM(K45:K47)</f>
        <v>2745667.59</v>
      </c>
      <c r="M44" s="351"/>
      <c r="N44" s="438"/>
    </row>
    <row r="45" spans="2:23" ht="15.75" customHeight="1" x14ac:dyDescent="0.2">
      <c r="B45" s="318" t="s">
        <v>136</v>
      </c>
      <c r="C45" s="352" t="s">
        <v>324</v>
      </c>
      <c r="D45" s="341"/>
      <c r="E45" s="341"/>
      <c r="F45" s="341"/>
      <c r="G45" s="341"/>
      <c r="H45" s="353"/>
      <c r="I45" s="354">
        <v>0</v>
      </c>
      <c r="J45" s="378"/>
      <c r="K45" s="354">
        <v>0</v>
      </c>
      <c r="M45" s="351"/>
    </row>
    <row r="46" spans="2:23" ht="16.5" customHeight="1" x14ac:dyDescent="0.2">
      <c r="B46" s="318" t="s">
        <v>140</v>
      </c>
      <c r="C46" s="352" t="s">
        <v>155</v>
      </c>
      <c r="D46" s="341"/>
      <c r="E46" s="341"/>
      <c r="F46" s="341"/>
      <c r="G46" s="341"/>
      <c r="H46" s="353"/>
      <c r="I46" s="354">
        <v>2783022.08</v>
      </c>
      <c r="J46" s="378"/>
      <c r="K46" s="354">
        <f>3203.77+2673417+69046.82</f>
        <v>2745667.59</v>
      </c>
      <c r="M46" s="351"/>
    </row>
    <row r="47" spans="2:23" ht="15.75" customHeight="1" x14ac:dyDescent="0.2">
      <c r="B47" s="318" t="s">
        <v>167</v>
      </c>
      <c r="C47" s="352" t="s">
        <v>37</v>
      </c>
      <c r="D47" s="341"/>
      <c r="E47" s="341"/>
      <c r="F47" s="341"/>
      <c r="G47" s="341"/>
      <c r="H47" s="353"/>
      <c r="I47" s="354">
        <v>7039.41</v>
      </c>
      <c r="J47" s="372">
        <f>SUM(J48:J49)</f>
        <v>200705.71</v>
      </c>
      <c r="K47" s="354"/>
      <c r="M47" s="351"/>
    </row>
    <row r="48" spans="2:23" s="350" customFormat="1" ht="21.75" customHeight="1" x14ac:dyDescent="0.2">
      <c r="B48" s="373" t="s">
        <v>556</v>
      </c>
      <c r="C48" s="374" t="s">
        <v>184</v>
      </c>
      <c r="D48" s="375"/>
      <c r="E48" s="375"/>
      <c r="F48" s="375"/>
      <c r="G48" s="375"/>
      <c r="H48" s="376"/>
      <c r="I48" s="377">
        <f>SUM(I49:I50)</f>
        <v>2044296.87</v>
      </c>
      <c r="J48" s="367">
        <v>200705.71</v>
      </c>
      <c r="K48" s="377">
        <f>SUM(K49:K50)</f>
        <v>1892651.06</v>
      </c>
      <c r="M48" s="351"/>
      <c r="N48" s="440"/>
    </row>
    <row r="49" spans="2:15" ht="14.25" customHeight="1" x14ac:dyDescent="0.2">
      <c r="B49" s="318" t="s">
        <v>136</v>
      </c>
      <c r="C49" s="352" t="s">
        <v>155</v>
      </c>
      <c r="D49" s="341"/>
      <c r="E49" s="341"/>
      <c r="F49" s="341"/>
      <c r="G49" s="341"/>
      <c r="H49" s="353"/>
      <c r="I49" s="354">
        <v>0</v>
      </c>
      <c r="J49" s="378"/>
      <c r="K49" s="354">
        <v>0</v>
      </c>
      <c r="M49" s="351"/>
    </row>
    <row r="50" spans="2:15" ht="14.25" customHeight="1" x14ac:dyDescent="0.2">
      <c r="B50" s="318" t="s">
        <v>140</v>
      </c>
      <c r="C50" s="352" t="s">
        <v>37</v>
      </c>
      <c r="D50" s="341"/>
      <c r="E50" s="341"/>
      <c r="F50" s="341"/>
      <c r="G50" s="341"/>
      <c r="H50" s="353"/>
      <c r="I50" s="354">
        <v>2044296.87</v>
      </c>
      <c r="J50" s="366">
        <f>J42+J43-J47</f>
        <v>-136435988.50999999</v>
      </c>
      <c r="K50" s="354">
        <f>56125.97+26764.02+1809761.07</f>
        <v>1892651.06</v>
      </c>
      <c r="M50" s="351"/>
    </row>
    <row r="51" spans="2:15" s="350" customFormat="1" ht="25.5" customHeight="1" x14ac:dyDescent="0.2">
      <c r="B51" s="373" t="s">
        <v>136</v>
      </c>
      <c r="C51" s="374" t="s">
        <v>557</v>
      </c>
      <c r="D51" s="375"/>
      <c r="E51" s="375"/>
      <c r="F51" s="375"/>
      <c r="G51" s="375"/>
      <c r="H51" s="376"/>
      <c r="I51" s="377">
        <f>I43+I44-I48</f>
        <v>-143389542.19000003</v>
      </c>
      <c r="J51" s="381"/>
      <c r="K51" s="377">
        <f>K43+K44-K48</f>
        <v>-85182857.450000003</v>
      </c>
      <c r="M51" s="351"/>
      <c r="N51" s="440"/>
    </row>
    <row r="52" spans="2:15" s="350" customFormat="1" ht="21" customHeight="1" x14ac:dyDescent="0.2">
      <c r="B52" s="373" t="s">
        <v>558</v>
      </c>
      <c r="C52" s="374" t="s">
        <v>559</v>
      </c>
      <c r="D52" s="375"/>
      <c r="E52" s="375"/>
      <c r="F52" s="375"/>
      <c r="G52" s="375"/>
      <c r="H52" s="376"/>
      <c r="I52" s="377">
        <v>0</v>
      </c>
      <c r="J52" s="382"/>
      <c r="K52" s="377">
        <v>0</v>
      </c>
      <c r="M52" s="351"/>
      <c r="N52" s="440"/>
    </row>
    <row r="53" spans="2:15" s="350" customFormat="1" ht="29.25" customHeight="1" thickBot="1" x14ac:dyDescent="0.25">
      <c r="B53" s="373" t="s">
        <v>560</v>
      </c>
      <c r="C53" s="790" t="s">
        <v>561</v>
      </c>
      <c r="D53" s="787"/>
      <c r="E53" s="787"/>
      <c r="F53" s="787"/>
      <c r="G53" s="787"/>
      <c r="H53" s="376"/>
      <c r="I53" s="377">
        <v>0</v>
      </c>
      <c r="J53" s="382" t="e">
        <f>#REF!-J51-J52</f>
        <v>#REF!</v>
      </c>
      <c r="K53" s="377">
        <v>0</v>
      </c>
      <c r="L53" s="350">
        <v>0</v>
      </c>
      <c r="M53" s="351"/>
      <c r="N53" s="440"/>
    </row>
    <row r="54" spans="2:15" s="350" customFormat="1" ht="24" customHeight="1" thickBot="1" x14ac:dyDescent="0.25">
      <c r="B54" s="383" t="s">
        <v>562</v>
      </c>
      <c r="C54" s="384" t="s">
        <v>563</v>
      </c>
      <c r="D54" s="385"/>
      <c r="E54" s="385"/>
      <c r="F54" s="385"/>
      <c r="G54" s="385"/>
      <c r="H54" s="386"/>
      <c r="I54" s="387">
        <f>I51+I52-I53</f>
        <v>-143389542.19000003</v>
      </c>
      <c r="J54" s="388">
        <v>0</v>
      </c>
      <c r="K54" s="387">
        <f>K51+K52-K53</f>
        <v>-85182857.450000003</v>
      </c>
      <c r="L54" s="350">
        <v>0</v>
      </c>
      <c r="M54" s="351"/>
      <c r="N54" s="440"/>
      <c r="O54" s="437"/>
    </row>
    <row r="55" spans="2:15" ht="14.25" x14ac:dyDescent="0.2">
      <c r="B55" s="389"/>
      <c r="C55" s="350"/>
      <c r="D55" s="350"/>
      <c r="E55" s="351"/>
    </row>
    <row r="58" spans="2:15" x14ac:dyDescent="0.2">
      <c r="C58" s="781" t="s">
        <v>564</v>
      </c>
      <c r="D58" s="781"/>
      <c r="K58" s="390" t="s">
        <v>565</v>
      </c>
    </row>
    <row r="60" spans="2:15" x14ac:dyDescent="0.2">
      <c r="F60" s="310" t="s">
        <v>332</v>
      </c>
    </row>
    <row r="61" spans="2:15" x14ac:dyDescent="0.2">
      <c r="C61" s="781" t="s">
        <v>566</v>
      </c>
      <c r="D61" s="781"/>
      <c r="K61" s="310" t="s">
        <v>567</v>
      </c>
    </row>
    <row r="62" spans="2:15" x14ac:dyDescent="0.2">
      <c r="F62" s="791"/>
      <c r="G62" s="792"/>
      <c r="H62" s="792"/>
      <c r="I62" s="792"/>
      <c r="L62" s="391"/>
      <c r="M62" s="391"/>
    </row>
    <row r="63" spans="2:15" x14ac:dyDescent="0.2">
      <c r="C63" s="392"/>
      <c r="D63" s="392"/>
      <c r="E63" s="781"/>
      <c r="F63" s="781"/>
      <c r="G63" s="781"/>
      <c r="H63" s="781"/>
      <c r="I63" s="781"/>
    </row>
    <row r="64" spans="2:15" x14ac:dyDescent="0.2">
      <c r="C64" s="781"/>
      <c r="D64" s="781"/>
      <c r="E64" s="781"/>
    </row>
    <row r="65" spans="2:13" x14ac:dyDescent="0.2">
      <c r="B65" s="780"/>
      <c r="C65" s="780"/>
      <c r="D65" s="780"/>
      <c r="E65" s="781"/>
      <c r="F65" s="781"/>
      <c r="G65" s="781"/>
      <c r="H65" s="781"/>
      <c r="I65" s="781"/>
    </row>
    <row r="67" spans="2:13" x14ac:dyDescent="0.2">
      <c r="M67" s="393"/>
    </row>
  </sheetData>
  <mergeCells count="20">
    <mergeCell ref="E7:I7"/>
    <mergeCell ref="B2:D2"/>
    <mergeCell ref="E3:I3"/>
    <mergeCell ref="E4:I4"/>
    <mergeCell ref="E5:I5"/>
    <mergeCell ref="E6:I6"/>
    <mergeCell ref="B65:D65"/>
    <mergeCell ref="E65:F65"/>
    <mergeCell ref="G65:I65"/>
    <mergeCell ref="E9:I9"/>
    <mergeCell ref="C18:G18"/>
    <mergeCell ref="C19:G19"/>
    <mergeCell ref="C24:G24"/>
    <mergeCell ref="C41:G41"/>
    <mergeCell ref="C53:G53"/>
    <mergeCell ref="C58:D58"/>
    <mergeCell ref="C61:D61"/>
    <mergeCell ref="F62:I62"/>
    <mergeCell ref="E63:I63"/>
    <mergeCell ref="C64:E64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V65"/>
  <sheetViews>
    <sheetView zoomScale="80" zoomScaleNormal="80" workbookViewId="0">
      <selection activeCell="S36" sqref="S36"/>
    </sheetView>
  </sheetViews>
  <sheetFormatPr defaultRowHeight="12.75" x14ac:dyDescent="0.2"/>
  <cols>
    <col min="1" max="1" width="1.85546875" style="310" customWidth="1"/>
    <col min="2" max="2" width="12.42578125" style="310" bestFit="1" customWidth="1"/>
    <col min="3" max="3" width="9.140625" style="310"/>
    <col min="4" max="4" width="21.7109375" style="310" customWidth="1"/>
    <col min="5" max="6" width="13.85546875" style="310" bestFit="1" customWidth="1"/>
    <col min="7" max="7" width="5.42578125" style="310" customWidth="1"/>
    <col min="8" max="8" width="0" style="310" hidden="1" customWidth="1"/>
    <col min="9" max="9" width="16.28515625" style="310" customWidth="1"/>
    <col min="10" max="10" width="9.140625" style="310" hidden="1" customWidth="1"/>
    <col min="11" max="11" width="21.42578125" style="310" bestFit="1" customWidth="1"/>
    <col min="12" max="12" width="0" style="310" hidden="1" customWidth="1"/>
    <col min="13" max="13" width="20" style="310" customWidth="1"/>
    <col min="14" max="14" width="15.85546875" style="427" bestFit="1" customWidth="1"/>
    <col min="15" max="15" width="18" style="310" customWidth="1"/>
    <col min="16" max="16" width="9.7109375" style="310" bestFit="1" customWidth="1"/>
    <col min="17" max="17" width="11.7109375" style="356" bestFit="1" customWidth="1"/>
    <col min="18" max="18" width="9.140625" style="310"/>
    <col min="19" max="20" width="16.7109375" style="735" bestFit="1" customWidth="1"/>
    <col min="21" max="21" width="9.140625" style="310"/>
    <col min="22" max="22" width="16.42578125" style="310" bestFit="1" customWidth="1"/>
    <col min="23" max="256" width="9.140625" style="310"/>
    <col min="257" max="257" width="1.85546875" style="310" customWidth="1"/>
    <col min="258" max="258" width="12.42578125" style="310" bestFit="1" customWidth="1"/>
    <col min="259" max="259" width="9.140625" style="310"/>
    <col min="260" max="260" width="21.7109375" style="310" customWidth="1"/>
    <col min="261" max="262" width="13.85546875" style="310" bestFit="1" customWidth="1"/>
    <col min="263" max="263" width="5.42578125" style="310" customWidth="1"/>
    <col min="264" max="264" width="0" style="310" hidden="1" customWidth="1"/>
    <col min="265" max="265" width="24.140625" style="310" customWidth="1"/>
    <col min="266" max="266" width="0" style="310" hidden="1" customWidth="1"/>
    <col min="267" max="267" width="27.5703125" style="310" customWidth="1"/>
    <col min="268" max="268" width="0" style="310" hidden="1" customWidth="1"/>
    <col min="269" max="269" width="20" style="310" customWidth="1"/>
    <col min="270" max="270" width="13.7109375" style="310" bestFit="1" customWidth="1"/>
    <col min="271" max="271" width="18" style="310" customWidth="1"/>
    <col min="272" max="272" width="9.140625" style="310"/>
    <col min="273" max="273" width="11.7109375" style="310" bestFit="1" customWidth="1"/>
    <col min="274" max="512" width="9.140625" style="310"/>
    <col min="513" max="513" width="1.85546875" style="310" customWidth="1"/>
    <col min="514" max="514" width="12.42578125" style="310" bestFit="1" customWidth="1"/>
    <col min="515" max="515" width="9.140625" style="310"/>
    <col min="516" max="516" width="21.7109375" style="310" customWidth="1"/>
    <col min="517" max="518" width="13.85546875" style="310" bestFit="1" customWidth="1"/>
    <col min="519" max="519" width="5.42578125" style="310" customWidth="1"/>
    <col min="520" max="520" width="0" style="310" hidden="1" customWidth="1"/>
    <col min="521" max="521" width="24.140625" style="310" customWidth="1"/>
    <col min="522" max="522" width="0" style="310" hidden="1" customWidth="1"/>
    <col min="523" max="523" width="27.5703125" style="310" customWidth="1"/>
    <col min="524" max="524" width="0" style="310" hidden="1" customWidth="1"/>
    <col min="525" max="525" width="20" style="310" customWidth="1"/>
    <col min="526" max="526" width="13.7109375" style="310" bestFit="1" customWidth="1"/>
    <col min="527" max="527" width="18" style="310" customWidth="1"/>
    <col min="528" max="528" width="9.140625" style="310"/>
    <col min="529" max="529" width="11.7109375" style="310" bestFit="1" customWidth="1"/>
    <col min="530" max="768" width="9.140625" style="310"/>
    <col min="769" max="769" width="1.85546875" style="310" customWidth="1"/>
    <col min="770" max="770" width="12.42578125" style="310" bestFit="1" customWidth="1"/>
    <col min="771" max="771" width="9.140625" style="310"/>
    <col min="772" max="772" width="21.7109375" style="310" customWidth="1"/>
    <col min="773" max="774" width="13.85546875" style="310" bestFit="1" customWidth="1"/>
    <col min="775" max="775" width="5.42578125" style="310" customWidth="1"/>
    <col min="776" max="776" width="0" style="310" hidden="1" customWidth="1"/>
    <col min="777" max="777" width="24.140625" style="310" customWidth="1"/>
    <col min="778" max="778" width="0" style="310" hidden="1" customWidth="1"/>
    <col min="779" max="779" width="27.5703125" style="310" customWidth="1"/>
    <col min="780" max="780" width="0" style="310" hidden="1" customWidth="1"/>
    <col min="781" max="781" width="20" style="310" customWidth="1"/>
    <col min="782" max="782" width="13.7109375" style="310" bestFit="1" customWidth="1"/>
    <col min="783" max="783" width="18" style="310" customWidth="1"/>
    <col min="784" max="784" width="9.140625" style="310"/>
    <col min="785" max="785" width="11.7109375" style="310" bestFit="1" customWidth="1"/>
    <col min="786" max="1024" width="9.140625" style="310"/>
    <col min="1025" max="1025" width="1.85546875" style="310" customWidth="1"/>
    <col min="1026" max="1026" width="12.42578125" style="310" bestFit="1" customWidth="1"/>
    <col min="1027" max="1027" width="9.140625" style="310"/>
    <col min="1028" max="1028" width="21.7109375" style="310" customWidth="1"/>
    <col min="1029" max="1030" width="13.85546875" style="310" bestFit="1" customWidth="1"/>
    <col min="1031" max="1031" width="5.42578125" style="310" customWidth="1"/>
    <col min="1032" max="1032" width="0" style="310" hidden="1" customWidth="1"/>
    <col min="1033" max="1033" width="24.140625" style="310" customWidth="1"/>
    <col min="1034" max="1034" width="0" style="310" hidden="1" customWidth="1"/>
    <col min="1035" max="1035" width="27.5703125" style="310" customWidth="1"/>
    <col min="1036" max="1036" width="0" style="310" hidden="1" customWidth="1"/>
    <col min="1037" max="1037" width="20" style="310" customWidth="1"/>
    <col min="1038" max="1038" width="13.7109375" style="310" bestFit="1" customWidth="1"/>
    <col min="1039" max="1039" width="18" style="310" customWidth="1"/>
    <col min="1040" max="1040" width="9.140625" style="310"/>
    <col min="1041" max="1041" width="11.7109375" style="310" bestFit="1" customWidth="1"/>
    <col min="1042" max="1280" width="9.140625" style="310"/>
    <col min="1281" max="1281" width="1.85546875" style="310" customWidth="1"/>
    <col min="1282" max="1282" width="12.42578125" style="310" bestFit="1" customWidth="1"/>
    <col min="1283" max="1283" width="9.140625" style="310"/>
    <col min="1284" max="1284" width="21.7109375" style="310" customWidth="1"/>
    <col min="1285" max="1286" width="13.85546875" style="310" bestFit="1" customWidth="1"/>
    <col min="1287" max="1287" width="5.42578125" style="310" customWidth="1"/>
    <col min="1288" max="1288" width="0" style="310" hidden="1" customWidth="1"/>
    <col min="1289" max="1289" width="24.140625" style="310" customWidth="1"/>
    <col min="1290" max="1290" width="0" style="310" hidden="1" customWidth="1"/>
    <col min="1291" max="1291" width="27.5703125" style="310" customWidth="1"/>
    <col min="1292" max="1292" width="0" style="310" hidden="1" customWidth="1"/>
    <col min="1293" max="1293" width="20" style="310" customWidth="1"/>
    <col min="1294" max="1294" width="13.7109375" style="310" bestFit="1" customWidth="1"/>
    <col min="1295" max="1295" width="18" style="310" customWidth="1"/>
    <col min="1296" max="1296" width="9.140625" style="310"/>
    <col min="1297" max="1297" width="11.7109375" style="310" bestFit="1" customWidth="1"/>
    <col min="1298" max="1536" width="9.140625" style="310"/>
    <col min="1537" max="1537" width="1.85546875" style="310" customWidth="1"/>
    <col min="1538" max="1538" width="12.42578125" style="310" bestFit="1" customWidth="1"/>
    <col min="1539" max="1539" width="9.140625" style="310"/>
    <col min="1540" max="1540" width="21.7109375" style="310" customWidth="1"/>
    <col min="1541" max="1542" width="13.85546875" style="310" bestFit="1" customWidth="1"/>
    <col min="1543" max="1543" width="5.42578125" style="310" customWidth="1"/>
    <col min="1544" max="1544" width="0" style="310" hidden="1" customWidth="1"/>
    <col min="1545" max="1545" width="24.140625" style="310" customWidth="1"/>
    <col min="1546" max="1546" width="0" style="310" hidden="1" customWidth="1"/>
    <col min="1547" max="1547" width="27.5703125" style="310" customWidth="1"/>
    <col min="1548" max="1548" width="0" style="310" hidden="1" customWidth="1"/>
    <col min="1549" max="1549" width="20" style="310" customWidth="1"/>
    <col min="1550" max="1550" width="13.7109375" style="310" bestFit="1" customWidth="1"/>
    <col min="1551" max="1551" width="18" style="310" customWidth="1"/>
    <col min="1552" max="1552" width="9.140625" style="310"/>
    <col min="1553" max="1553" width="11.7109375" style="310" bestFit="1" customWidth="1"/>
    <col min="1554" max="1792" width="9.140625" style="310"/>
    <col min="1793" max="1793" width="1.85546875" style="310" customWidth="1"/>
    <col min="1794" max="1794" width="12.42578125" style="310" bestFit="1" customWidth="1"/>
    <col min="1795" max="1795" width="9.140625" style="310"/>
    <col min="1796" max="1796" width="21.7109375" style="310" customWidth="1"/>
    <col min="1797" max="1798" width="13.85546875" style="310" bestFit="1" customWidth="1"/>
    <col min="1799" max="1799" width="5.42578125" style="310" customWidth="1"/>
    <col min="1800" max="1800" width="0" style="310" hidden="1" customWidth="1"/>
    <col min="1801" max="1801" width="24.140625" style="310" customWidth="1"/>
    <col min="1802" max="1802" width="0" style="310" hidden="1" customWidth="1"/>
    <col min="1803" max="1803" width="27.5703125" style="310" customWidth="1"/>
    <col min="1804" max="1804" width="0" style="310" hidden="1" customWidth="1"/>
    <col min="1805" max="1805" width="20" style="310" customWidth="1"/>
    <col min="1806" max="1806" width="13.7109375" style="310" bestFit="1" customWidth="1"/>
    <col min="1807" max="1807" width="18" style="310" customWidth="1"/>
    <col min="1808" max="1808" width="9.140625" style="310"/>
    <col min="1809" max="1809" width="11.7109375" style="310" bestFit="1" customWidth="1"/>
    <col min="1810" max="2048" width="9.140625" style="310"/>
    <col min="2049" max="2049" width="1.85546875" style="310" customWidth="1"/>
    <col min="2050" max="2050" width="12.42578125" style="310" bestFit="1" customWidth="1"/>
    <col min="2051" max="2051" width="9.140625" style="310"/>
    <col min="2052" max="2052" width="21.7109375" style="310" customWidth="1"/>
    <col min="2053" max="2054" width="13.85546875" style="310" bestFit="1" customWidth="1"/>
    <col min="2055" max="2055" width="5.42578125" style="310" customWidth="1"/>
    <col min="2056" max="2056" width="0" style="310" hidden="1" customWidth="1"/>
    <col min="2057" max="2057" width="24.140625" style="310" customWidth="1"/>
    <col min="2058" max="2058" width="0" style="310" hidden="1" customWidth="1"/>
    <col min="2059" max="2059" width="27.5703125" style="310" customWidth="1"/>
    <col min="2060" max="2060" width="0" style="310" hidden="1" customWidth="1"/>
    <col min="2061" max="2061" width="20" style="310" customWidth="1"/>
    <col min="2062" max="2062" width="13.7109375" style="310" bestFit="1" customWidth="1"/>
    <col min="2063" max="2063" width="18" style="310" customWidth="1"/>
    <col min="2064" max="2064" width="9.140625" style="310"/>
    <col min="2065" max="2065" width="11.7109375" style="310" bestFit="1" customWidth="1"/>
    <col min="2066" max="2304" width="9.140625" style="310"/>
    <col min="2305" max="2305" width="1.85546875" style="310" customWidth="1"/>
    <col min="2306" max="2306" width="12.42578125" style="310" bestFit="1" customWidth="1"/>
    <col min="2307" max="2307" width="9.140625" style="310"/>
    <col min="2308" max="2308" width="21.7109375" style="310" customWidth="1"/>
    <col min="2309" max="2310" width="13.85546875" style="310" bestFit="1" customWidth="1"/>
    <col min="2311" max="2311" width="5.42578125" style="310" customWidth="1"/>
    <col min="2312" max="2312" width="0" style="310" hidden="1" customWidth="1"/>
    <col min="2313" max="2313" width="24.140625" style="310" customWidth="1"/>
    <col min="2314" max="2314" width="0" style="310" hidden="1" customWidth="1"/>
    <col min="2315" max="2315" width="27.5703125" style="310" customWidth="1"/>
    <col min="2316" max="2316" width="0" style="310" hidden="1" customWidth="1"/>
    <col min="2317" max="2317" width="20" style="310" customWidth="1"/>
    <col min="2318" max="2318" width="13.7109375" style="310" bestFit="1" customWidth="1"/>
    <col min="2319" max="2319" width="18" style="310" customWidth="1"/>
    <col min="2320" max="2320" width="9.140625" style="310"/>
    <col min="2321" max="2321" width="11.7109375" style="310" bestFit="1" customWidth="1"/>
    <col min="2322" max="2560" width="9.140625" style="310"/>
    <col min="2561" max="2561" width="1.85546875" style="310" customWidth="1"/>
    <col min="2562" max="2562" width="12.42578125" style="310" bestFit="1" customWidth="1"/>
    <col min="2563" max="2563" width="9.140625" style="310"/>
    <col min="2564" max="2564" width="21.7109375" style="310" customWidth="1"/>
    <col min="2565" max="2566" width="13.85546875" style="310" bestFit="1" customWidth="1"/>
    <col min="2567" max="2567" width="5.42578125" style="310" customWidth="1"/>
    <col min="2568" max="2568" width="0" style="310" hidden="1" customWidth="1"/>
    <col min="2569" max="2569" width="24.140625" style="310" customWidth="1"/>
    <col min="2570" max="2570" width="0" style="310" hidden="1" customWidth="1"/>
    <col min="2571" max="2571" width="27.5703125" style="310" customWidth="1"/>
    <col min="2572" max="2572" width="0" style="310" hidden="1" customWidth="1"/>
    <col min="2573" max="2573" width="20" style="310" customWidth="1"/>
    <col min="2574" max="2574" width="13.7109375" style="310" bestFit="1" customWidth="1"/>
    <col min="2575" max="2575" width="18" style="310" customWidth="1"/>
    <col min="2576" max="2576" width="9.140625" style="310"/>
    <col min="2577" max="2577" width="11.7109375" style="310" bestFit="1" customWidth="1"/>
    <col min="2578" max="2816" width="9.140625" style="310"/>
    <col min="2817" max="2817" width="1.85546875" style="310" customWidth="1"/>
    <col min="2818" max="2818" width="12.42578125" style="310" bestFit="1" customWidth="1"/>
    <col min="2819" max="2819" width="9.140625" style="310"/>
    <col min="2820" max="2820" width="21.7109375" style="310" customWidth="1"/>
    <col min="2821" max="2822" width="13.85546875" style="310" bestFit="1" customWidth="1"/>
    <col min="2823" max="2823" width="5.42578125" style="310" customWidth="1"/>
    <col min="2824" max="2824" width="0" style="310" hidden="1" customWidth="1"/>
    <col min="2825" max="2825" width="24.140625" style="310" customWidth="1"/>
    <col min="2826" max="2826" width="0" style="310" hidden="1" customWidth="1"/>
    <col min="2827" max="2827" width="27.5703125" style="310" customWidth="1"/>
    <col min="2828" max="2828" width="0" style="310" hidden="1" customWidth="1"/>
    <col min="2829" max="2829" width="20" style="310" customWidth="1"/>
    <col min="2830" max="2830" width="13.7109375" style="310" bestFit="1" customWidth="1"/>
    <col min="2831" max="2831" width="18" style="310" customWidth="1"/>
    <col min="2832" max="2832" width="9.140625" style="310"/>
    <col min="2833" max="2833" width="11.7109375" style="310" bestFit="1" customWidth="1"/>
    <col min="2834" max="3072" width="9.140625" style="310"/>
    <col min="3073" max="3073" width="1.85546875" style="310" customWidth="1"/>
    <col min="3074" max="3074" width="12.42578125" style="310" bestFit="1" customWidth="1"/>
    <col min="3075" max="3075" width="9.140625" style="310"/>
    <col min="3076" max="3076" width="21.7109375" style="310" customWidth="1"/>
    <col min="3077" max="3078" width="13.85546875" style="310" bestFit="1" customWidth="1"/>
    <col min="3079" max="3079" width="5.42578125" style="310" customWidth="1"/>
    <col min="3080" max="3080" width="0" style="310" hidden="1" customWidth="1"/>
    <col min="3081" max="3081" width="24.140625" style="310" customWidth="1"/>
    <col min="3082" max="3082" width="0" style="310" hidden="1" customWidth="1"/>
    <col min="3083" max="3083" width="27.5703125" style="310" customWidth="1"/>
    <col min="3084" max="3084" width="0" style="310" hidden="1" customWidth="1"/>
    <col min="3085" max="3085" width="20" style="310" customWidth="1"/>
    <col min="3086" max="3086" width="13.7109375" style="310" bestFit="1" customWidth="1"/>
    <col min="3087" max="3087" width="18" style="310" customWidth="1"/>
    <col min="3088" max="3088" width="9.140625" style="310"/>
    <col min="3089" max="3089" width="11.7109375" style="310" bestFit="1" customWidth="1"/>
    <col min="3090" max="3328" width="9.140625" style="310"/>
    <col min="3329" max="3329" width="1.85546875" style="310" customWidth="1"/>
    <col min="3330" max="3330" width="12.42578125" style="310" bestFit="1" customWidth="1"/>
    <col min="3331" max="3331" width="9.140625" style="310"/>
    <col min="3332" max="3332" width="21.7109375" style="310" customWidth="1"/>
    <col min="3333" max="3334" width="13.85546875" style="310" bestFit="1" customWidth="1"/>
    <col min="3335" max="3335" width="5.42578125" style="310" customWidth="1"/>
    <col min="3336" max="3336" width="0" style="310" hidden="1" customWidth="1"/>
    <col min="3337" max="3337" width="24.140625" style="310" customWidth="1"/>
    <col min="3338" max="3338" width="0" style="310" hidden="1" customWidth="1"/>
    <col min="3339" max="3339" width="27.5703125" style="310" customWidth="1"/>
    <col min="3340" max="3340" width="0" style="310" hidden="1" customWidth="1"/>
    <col min="3341" max="3341" width="20" style="310" customWidth="1"/>
    <col min="3342" max="3342" width="13.7109375" style="310" bestFit="1" customWidth="1"/>
    <col min="3343" max="3343" width="18" style="310" customWidth="1"/>
    <col min="3344" max="3344" width="9.140625" style="310"/>
    <col min="3345" max="3345" width="11.7109375" style="310" bestFit="1" customWidth="1"/>
    <col min="3346" max="3584" width="9.140625" style="310"/>
    <col min="3585" max="3585" width="1.85546875" style="310" customWidth="1"/>
    <col min="3586" max="3586" width="12.42578125" style="310" bestFit="1" customWidth="1"/>
    <col min="3587" max="3587" width="9.140625" style="310"/>
    <col min="3588" max="3588" width="21.7109375" style="310" customWidth="1"/>
    <col min="3589" max="3590" width="13.85546875" style="310" bestFit="1" customWidth="1"/>
    <col min="3591" max="3591" width="5.42578125" style="310" customWidth="1"/>
    <col min="3592" max="3592" width="0" style="310" hidden="1" customWidth="1"/>
    <col min="3593" max="3593" width="24.140625" style="310" customWidth="1"/>
    <col min="3594" max="3594" width="0" style="310" hidden="1" customWidth="1"/>
    <col min="3595" max="3595" width="27.5703125" style="310" customWidth="1"/>
    <col min="3596" max="3596" width="0" style="310" hidden="1" customWidth="1"/>
    <col min="3597" max="3597" width="20" style="310" customWidth="1"/>
    <col min="3598" max="3598" width="13.7109375" style="310" bestFit="1" customWidth="1"/>
    <col min="3599" max="3599" width="18" style="310" customWidth="1"/>
    <col min="3600" max="3600" width="9.140625" style="310"/>
    <col min="3601" max="3601" width="11.7109375" style="310" bestFit="1" customWidth="1"/>
    <col min="3602" max="3840" width="9.140625" style="310"/>
    <col min="3841" max="3841" width="1.85546875" style="310" customWidth="1"/>
    <col min="3842" max="3842" width="12.42578125" style="310" bestFit="1" customWidth="1"/>
    <col min="3843" max="3843" width="9.140625" style="310"/>
    <col min="3844" max="3844" width="21.7109375" style="310" customWidth="1"/>
    <col min="3845" max="3846" width="13.85546875" style="310" bestFit="1" customWidth="1"/>
    <col min="3847" max="3847" width="5.42578125" style="310" customWidth="1"/>
    <col min="3848" max="3848" width="0" style="310" hidden="1" customWidth="1"/>
    <col min="3849" max="3849" width="24.140625" style="310" customWidth="1"/>
    <col min="3850" max="3850" width="0" style="310" hidden="1" customWidth="1"/>
    <col min="3851" max="3851" width="27.5703125" style="310" customWidth="1"/>
    <col min="3852" max="3852" width="0" style="310" hidden="1" customWidth="1"/>
    <col min="3853" max="3853" width="20" style="310" customWidth="1"/>
    <col min="3854" max="3854" width="13.7109375" style="310" bestFit="1" customWidth="1"/>
    <col min="3855" max="3855" width="18" style="310" customWidth="1"/>
    <col min="3856" max="3856" width="9.140625" style="310"/>
    <col min="3857" max="3857" width="11.7109375" style="310" bestFit="1" customWidth="1"/>
    <col min="3858" max="4096" width="9.140625" style="310"/>
    <col min="4097" max="4097" width="1.85546875" style="310" customWidth="1"/>
    <col min="4098" max="4098" width="12.42578125" style="310" bestFit="1" customWidth="1"/>
    <col min="4099" max="4099" width="9.140625" style="310"/>
    <col min="4100" max="4100" width="21.7109375" style="310" customWidth="1"/>
    <col min="4101" max="4102" width="13.85546875" style="310" bestFit="1" customWidth="1"/>
    <col min="4103" max="4103" width="5.42578125" style="310" customWidth="1"/>
    <col min="4104" max="4104" width="0" style="310" hidden="1" customWidth="1"/>
    <col min="4105" max="4105" width="24.140625" style="310" customWidth="1"/>
    <col min="4106" max="4106" width="0" style="310" hidden="1" customWidth="1"/>
    <col min="4107" max="4107" width="27.5703125" style="310" customWidth="1"/>
    <col min="4108" max="4108" width="0" style="310" hidden="1" customWidth="1"/>
    <col min="4109" max="4109" width="20" style="310" customWidth="1"/>
    <col min="4110" max="4110" width="13.7109375" style="310" bestFit="1" customWidth="1"/>
    <col min="4111" max="4111" width="18" style="310" customWidth="1"/>
    <col min="4112" max="4112" width="9.140625" style="310"/>
    <col min="4113" max="4113" width="11.7109375" style="310" bestFit="1" customWidth="1"/>
    <col min="4114" max="4352" width="9.140625" style="310"/>
    <col min="4353" max="4353" width="1.85546875" style="310" customWidth="1"/>
    <col min="4354" max="4354" width="12.42578125" style="310" bestFit="1" customWidth="1"/>
    <col min="4355" max="4355" width="9.140625" style="310"/>
    <col min="4356" max="4356" width="21.7109375" style="310" customWidth="1"/>
    <col min="4357" max="4358" width="13.85546875" style="310" bestFit="1" customWidth="1"/>
    <col min="4359" max="4359" width="5.42578125" style="310" customWidth="1"/>
    <col min="4360" max="4360" width="0" style="310" hidden="1" customWidth="1"/>
    <col min="4361" max="4361" width="24.140625" style="310" customWidth="1"/>
    <col min="4362" max="4362" width="0" style="310" hidden="1" customWidth="1"/>
    <col min="4363" max="4363" width="27.5703125" style="310" customWidth="1"/>
    <col min="4364" max="4364" width="0" style="310" hidden="1" customWidth="1"/>
    <col min="4365" max="4365" width="20" style="310" customWidth="1"/>
    <col min="4366" max="4366" width="13.7109375" style="310" bestFit="1" customWidth="1"/>
    <col min="4367" max="4367" width="18" style="310" customWidth="1"/>
    <col min="4368" max="4368" width="9.140625" style="310"/>
    <col min="4369" max="4369" width="11.7109375" style="310" bestFit="1" customWidth="1"/>
    <col min="4370" max="4608" width="9.140625" style="310"/>
    <col min="4609" max="4609" width="1.85546875" style="310" customWidth="1"/>
    <col min="4610" max="4610" width="12.42578125" style="310" bestFit="1" customWidth="1"/>
    <col min="4611" max="4611" width="9.140625" style="310"/>
    <col min="4612" max="4612" width="21.7109375" style="310" customWidth="1"/>
    <col min="4613" max="4614" width="13.85546875" style="310" bestFit="1" customWidth="1"/>
    <col min="4615" max="4615" width="5.42578125" style="310" customWidth="1"/>
    <col min="4616" max="4616" width="0" style="310" hidden="1" customWidth="1"/>
    <col min="4617" max="4617" width="24.140625" style="310" customWidth="1"/>
    <col min="4618" max="4618" width="0" style="310" hidden="1" customWidth="1"/>
    <col min="4619" max="4619" width="27.5703125" style="310" customWidth="1"/>
    <col min="4620" max="4620" width="0" style="310" hidden="1" customWidth="1"/>
    <col min="4621" max="4621" width="20" style="310" customWidth="1"/>
    <col min="4622" max="4622" width="13.7109375" style="310" bestFit="1" customWidth="1"/>
    <col min="4623" max="4623" width="18" style="310" customWidth="1"/>
    <col min="4624" max="4624" width="9.140625" style="310"/>
    <col min="4625" max="4625" width="11.7109375" style="310" bestFit="1" customWidth="1"/>
    <col min="4626" max="4864" width="9.140625" style="310"/>
    <col min="4865" max="4865" width="1.85546875" style="310" customWidth="1"/>
    <col min="4866" max="4866" width="12.42578125" style="310" bestFit="1" customWidth="1"/>
    <col min="4867" max="4867" width="9.140625" style="310"/>
    <col min="4868" max="4868" width="21.7109375" style="310" customWidth="1"/>
    <col min="4869" max="4870" width="13.85546875" style="310" bestFit="1" customWidth="1"/>
    <col min="4871" max="4871" width="5.42578125" style="310" customWidth="1"/>
    <col min="4872" max="4872" width="0" style="310" hidden="1" customWidth="1"/>
    <col min="4873" max="4873" width="24.140625" style="310" customWidth="1"/>
    <col min="4874" max="4874" width="0" style="310" hidden="1" customWidth="1"/>
    <col min="4875" max="4875" width="27.5703125" style="310" customWidth="1"/>
    <col min="4876" max="4876" width="0" style="310" hidden="1" customWidth="1"/>
    <col min="4877" max="4877" width="20" style="310" customWidth="1"/>
    <col min="4878" max="4878" width="13.7109375" style="310" bestFit="1" customWidth="1"/>
    <col min="4879" max="4879" width="18" style="310" customWidth="1"/>
    <col min="4880" max="4880" width="9.140625" style="310"/>
    <col min="4881" max="4881" width="11.7109375" style="310" bestFit="1" customWidth="1"/>
    <col min="4882" max="5120" width="9.140625" style="310"/>
    <col min="5121" max="5121" width="1.85546875" style="310" customWidth="1"/>
    <col min="5122" max="5122" width="12.42578125" style="310" bestFit="1" customWidth="1"/>
    <col min="5123" max="5123" width="9.140625" style="310"/>
    <col min="5124" max="5124" width="21.7109375" style="310" customWidth="1"/>
    <col min="5125" max="5126" width="13.85546875" style="310" bestFit="1" customWidth="1"/>
    <col min="5127" max="5127" width="5.42578125" style="310" customWidth="1"/>
    <col min="5128" max="5128" width="0" style="310" hidden="1" customWidth="1"/>
    <col min="5129" max="5129" width="24.140625" style="310" customWidth="1"/>
    <col min="5130" max="5130" width="0" style="310" hidden="1" customWidth="1"/>
    <col min="5131" max="5131" width="27.5703125" style="310" customWidth="1"/>
    <col min="5132" max="5132" width="0" style="310" hidden="1" customWidth="1"/>
    <col min="5133" max="5133" width="20" style="310" customWidth="1"/>
    <col min="5134" max="5134" width="13.7109375" style="310" bestFit="1" customWidth="1"/>
    <col min="5135" max="5135" width="18" style="310" customWidth="1"/>
    <col min="5136" max="5136" width="9.140625" style="310"/>
    <col min="5137" max="5137" width="11.7109375" style="310" bestFit="1" customWidth="1"/>
    <col min="5138" max="5376" width="9.140625" style="310"/>
    <col min="5377" max="5377" width="1.85546875" style="310" customWidth="1"/>
    <col min="5378" max="5378" width="12.42578125" style="310" bestFit="1" customWidth="1"/>
    <col min="5379" max="5379" width="9.140625" style="310"/>
    <col min="5380" max="5380" width="21.7109375" style="310" customWidth="1"/>
    <col min="5381" max="5382" width="13.85546875" style="310" bestFit="1" customWidth="1"/>
    <col min="5383" max="5383" width="5.42578125" style="310" customWidth="1"/>
    <col min="5384" max="5384" width="0" style="310" hidden="1" customWidth="1"/>
    <col min="5385" max="5385" width="24.140625" style="310" customWidth="1"/>
    <col min="5386" max="5386" width="0" style="310" hidden="1" customWidth="1"/>
    <col min="5387" max="5387" width="27.5703125" style="310" customWidth="1"/>
    <col min="5388" max="5388" width="0" style="310" hidden="1" customWidth="1"/>
    <col min="5389" max="5389" width="20" style="310" customWidth="1"/>
    <col min="5390" max="5390" width="13.7109375" style="310" bestFit="1" customWidth="1"/>
    <col min="5391" max="5391" width="18" style="310" customWidth="1"/>
    <col min="5392" max="5392" width="9.140625" style="310"/>
    <col min="5393" max="5393" width="11.7109375" style="310" bestFit="1" customWidth="1"/>
    <col min="5394" max="5632" width="9.140625" style="310"/>
    <col min="5633" max="5633" width="1.85546875" style="310" customWidth="1"/>
    <col min="5634" max="5634" width="12.42578125" style="310" bestFit="1" customWidth="1"/>
    <col min="5635" max="5635" width="9.140625" style="310"/>
    <col min="5636" max="5636" width="21.7109375" style="310" customWidth="1"/>
    <col min="5637" max="5638" width="13.85546875" style="310" bestFit="1" customWidth="1"/>
    <col min="5639" max="5639" width="5.42578125" style="310" customWidth="1"/>
    <col min="5640" max="5640" width="0" style="310" hidden="1" customWidth="1"/>
    <col min="5641" max="5641" width="24.140625" style="310" customWidth="1"/>
    <col min="5642" max="5642" width="0" style="310" hidden="1" customWidth="1"/>
    <col min="5643" max="5643" width="27.5703125" style="310" customWidth="1"/>
    <col min="5644" max="5644" width="0" style="310" hidden="1" customWidth="1"/>
    <col min="5645" max="5645" width="20" style="310" customWidth="1"/>
    <col min="5646" max="5646" width="13.7109375" style="310" bestFit="1" customWidth="1"/>
    <col min="5647" max="5647" width="18" style="310" customWidth="1"/>
    <col min="5648" max="5648" width="9.140625" style="310"/>
    <col min="5649" max="5649" width="11.7109375" style="310" bestFit="1" customWidth="1"/>
    <col min="5650" max="5888" width="9.140625" style="310"/>
    <col min="5889" max="5889" width="1.85546875" style="310" customWidth="1"/>
    <col min="5890" max="5890" width="12.42578125" style="310" bestFit="1" customWidth="1"/>
    <col min="5891" max="5891" width="9.140625" style="310"/>
    <col min="5892" max="5892" width="21.7109375" style="310" customWidth="1"/>
    <col min="5893" max="5894" width="13.85546875" style="310" bestFit="1" customWidth="1"/>
    <col min="5895" max="5895" width="5.42578125" style="310" customWidth="1"/>
    <col min="5896" max="5896" width="0" style="310" hidden="1" customWidth="1"/>
    <col min="5897" max="5897" width="24.140625" style="310" customWidth="1"/>
    <col min="5898" max="5898" width="0" style="310" hidden="1" customWidth="1"/>
    <col min="5899" max="5899" width="27.5703125" style="310" customWidth="1"/>
    <col min="5900" max="5900" width="0" style="310" hidden="1" customWidth="1"/>
    <col min="5901" max="5901" width="20" style="310" customWidth="1"/>
    <col min="5902" max="5902" width="13.7109375" style="310" bestFit="1" customWidth="1"/>
    <col min="5903" max="5903" width="18" style="310" customWidth="1"/>
    <col min="5904" max="5904" width="9.140625" style="310"/>
    <col min="5905" max="5905" width="11.7109375" style="310" bestFit="1" customWidth="1"/>
    <col min="5906" max="6144" width="9.140625" style="310"/>
    <col min="6145" max="6145" width="1.85546875" style="310" customWidth="1"/>
    <col min="6146" max="6146" width="12.42578125" style="310" bestFit="1" customWidth="1"/>
    <col min="6147" max="6147" width="9.140625" style="310"/>
    <col min="6148" max="6148" width="21.7109375" style="310" customWidth="1"/>
    <col min="6149" max="6150" width="13.85546875" style="310" bestFit="1" customWidth="1"/>
    <col min="6151" max="6151" width="5.42578125" style="310" customWidth="1"/>
    <col min="6152" max="6152" width="0" style="310" hidden="1" customWidth="1"/>
    <col min="6153" max="6153" width="24.140625" style="310" customWidth="1"/>
    <col min="6154" max="6154" width="0" style="310" hidden="1" customWidth="1"/>
    <col min="6155" max="6155" width="27.5703125" style="310" customWidth="1"/>
    <col min="6156" max="6156" width="0" style="310" hidden="1" customWidth="1"/>
    <col min="6157" max="6157" width="20" style="310" customWidth="1"/>
    <col min="6158" max="6158" width="13.7109375" style="310" bestFit="1" customWidth="1"/>
    <col min="6159" max="6159" width="18" style="310" customWidth="1"/>
    <col min="6160" max="6160" width="9.140625" style="310"/>
    <col min="6161" max="6161" width="11.7109375" style="310" bestFit="1" customWidth="1"/>
    <col min="6162" max="6400" width="9.140625" style="310"/>
    <col min="6401" max="6401" width="1.85546875" style="310" customWidth="1"/>
    <col min="6402" max="6402" width="12.42578125" style="310" bestFit="1" customWidth="1"/>
    <col min="6403" max="6403" width="9.140625" style="310"/>
    <col min="6404" max="6404" width="21.7109375" style="310" customWidth="1"/>
    <col min="6405" max="6406" width="13.85546875" style="310" bestFit="1" customWidth="1"/>
    <col min="6407" max="6407" width="5.42578125" style="310" customWidth="1"/>
    <col min="6408" max="6408" width="0" style="310" hidden="1" customWidth="1"/>
    <col min="6409" max="6409" width="24.140625" style="310" customWidth="1"/>
    <col min="6410" max="6410" width="0" style="310" hidden="1" customWidth="1"/>
    <col min="6411" max="6411" width="27.5703125" style="310" customWidth="1"/>
    <col min="6412" max="6412" width="0" style="310" hidden="1" customWidth="1"/>
    <col min="6413" max="6413" width="20" style="310" customWidth="1"/>
    <col min="6414" max="6414" width="13.7109375" style="310" bestFit="1" customWidth="1"/>
    <col min="6415" max="6415" width="18" style="310" customWidth="1"/>
    <col min="6416" max="6416" width="9.140625" style="310"/>
    <col min="6417" max="6417" width="11.7109375" style="310" bestFit="1" customWidth="1"/>
    <col min="6418" max="6656" width="9.140625" style="310"/>
    <col min="6657" max="6657" width="1.85546875" style="310" customWidth="1"/>
    <col min="6658" max="6658" width="12.42578125" style="310" bestFit="1" customWidth="1"/>
    <col min="6659" max="6659" width="9.140625" style="310"/>
    <col min="6660" max="6660" width="21.7109375" style="310" customWidth="1"/>
    <col min="6661" max="6662" width="13.85546875" style="310" bestFit="1" customWidth="1"/>
    <col min="6663" max="6663" width="5.42578125" style="310" customWidth="1"/>
    <col min="6664" max="6664" width="0" style="310" hidden="1" customWidth="1"/>
    <col min="6665" max="6665" width="24.140625" style="310" customWidth="1"/>
    <col min="6666" max="6666" width="0" style="310" hidden="1" customWidth="1"/>
    <col min="6667" max="6667" width="27.5703125" style="310" customWidth="1"/>
    <col min="6668" max="6668" width="0" style="310" hidden="1" customWidth="1"/>
    <col min="6669" max="6669" width="20" style="310" customWidth="1"/>
    <col min="6670" max="6670" width="13.7109375" style="310" bestFit="1" customWidth="1"/>
    <col min="6671" max="6671" width="18" style="310" customWidth="1"/>
    <col min="6672" max="6672" width="9.140625" style="310"/>
    <col min="6673" max="6673" width="11.7109375" style="310" bestFit="1" customWidth="1"/>
    <col min="6674" max="6912" width="9.140625" style="310"/>
    <col min="6913" max="6913" width="1.85546875" style="310" customWidth="1"/>
    <col min="6914" max="6914" width="12.42578125" style="310" bestFit="1" customWidth="1"/>
    <col min="6915" max="6915" width="9.140625" style="310"/>
    <col min="6916" max="6916" width="21.7109375" style="310" customWidth="1"/>
    <col min="6917" max="6918" width="13.85546875" style="310" bestFit="1" customWidth="1"/>
    <col min="6919" max="6919" width="5.42578125" style="310" customWidth="1"/>
    <col min="6920" max="6920" width="0" style="310" hidden="1" customWidth="1"/>
    <col min="6921" max="6921" width="24.140625" style="310" customWidth="1"/>
    <col min="6922" max="6922" width="0" style="310" hidden="1" customWidth="1"/>
    <col min="6923" max="6923" width="27.5703125" style="310" customWidth="1"/>
    <col min="6924" max="6924" width="0" style="310" hidden="1" customWidth="1"/>
    <col min="6925" max="6925" width="20" style="310" customWidth="1"/>
    <col min="6926" max="6926" width="13.7109375" style="310" bestFit="1" customWidth="1"/>
    <col min="6927" max="6927" width="18" style="310" customWidth="1"/>
    <col min="6928" max="6928" width="9.140625" style="310"/>
    <col min="6929" max="6929" width="11.7109375" style="310" bestFit="1" customWidth="1"/>
    <col min="6930" max="7168" width="9.140625" style="310"/>
    <col min="7169" max="7169" width="1.85546875" style="310" customWidth="1"/>
    <col min="7170" max="7170" width="12.42578125" style="310" bestFit="1" customWidth="1"/>
    <col min="7171" max="7171" width="9.140625" style="310"/>
    <col min="7172" max="7172" width="21.7109375" style="310" customWidth="1"/>
    <col min="7173" max="7174" width="13.85546875" style="310" bestFit="1" customWidth="1"/>
    <col min="7175" max="7175" width="5.42578125" style="310" customWidth="1"/>
    <col min="7176" max="7176" width="0" style="310" hidden="1" customWidth="1"/>
    <col min="7177" max="7177" width="24.140625" style="310" customWidth="1"/>
    <col min="7178" max="7178" width="0" style="310" hidden="1" customWidth="1"/>
    <col min="7179" max="7179" width="27.5703125" style="310" customWidth="1"/>
    <col min="7180" max="7180" width="0" style="310" hidden="1" customWidth="1"/>
    <col min="7181" max="7181" width="20" style="310" customWidth="1"/>
    <col min="7182" max="7182" width="13.7109375" style="310" bestFit="1" customWidth="1"/>
    <col min="7183" max="7183" width="18" style="310" customWidth="1"/>
    <col min="7184" max="7184" width="9.140625" style="310"/>
    <col min="7185" max="7185" width="11.7109375" style="310" bestFit="1" customWidth="1"/>
    <col min="7186" max="7424" width="9.140625" style="310"/>
    <col min="7425" max="7425" width="1.85546875" style="310" customWidth="1"/>
    <col min="7426" max="7426" width="12.42578125" style="310" bestFit="1" customWidth="1"/>
    <col min="7427" max="7427" width="9.140625" style="310"/>
    <col min="7428" max="7428" width="21.7109375" style="310" customWidth="1"/>
    <col min="7429" max="7430" width="13.85546875" style="310" bestFit="1" customWidth="1"/>
    <col min="7431" max="7431" width="5.42578125" style="310" customWidth="1"/>
    <col min="7432" max="7432" width="0" style="310" hidden="1" customWidth="1"/>
    <col min="7433" max="7433" width="24.140625" style="310" customWidth="1"/>
    <col min="7434" max="7434" width="0" style="310" hidden="1" customWidth="1"/>
    <col min="7435" max="7435" width="27.5703125" style="310" customWidth="1"/>
    <col min="7436" max="7436" width="0" style="310" hidden="1" customWidth="1"/>
    <col min="7437" max="7437" width="20" style="310" customWidth="1"/>
    <col min="7438" max="7438" width="13.7109375" style="310" bestFit="1" customWidth="1"/>
    <col min="7439" max="7439" width="18" style="310" customWidth="1"/>
    <col min="7440" max="7440" width="9.140625" style="310"/>
    <col min="7441" max="7441" width="11.7109375" style="310" bestFit="1" customWidth="1"/>
    <col min="7442" max="7680" width="9.140625" style="310"/>
    <col min="7681" max="7681" width="1.85546875" style="310" customWidth="1"/>
    <col min="7682" max="7682" width="12.42578125" style="310" bestFit="1" customWidth="1"/>
    <col min="7683" max="7683" width="9.140625" style="310"/>
    <col min="7684" max="7684" width="21.7109375" style="310" customWidth="1"/>
    <col min="7685" max="7686" width="13.85546875" style="310" bestFit="1" customWidth="1"/>
    <col min="7687" max="7687" width="5.42578125" style="310" customWidth="1"/>
    <col min="7688" max="7688" width="0" style="310" hidden="1" customWidth="1"/>
    <col min="7689" max="7689" width="24.140625" style="310" customWidth="1"/>
    <col min="7690" max="7690" width="0" style="310" hidden="1" customWidth="1"/>
    <col min="7691" max="7691" width="27.5703125" style="310" customWidth="1"/>
    <col min="7692" max="7692" width="0" style="310" hidden="1" customWidth="1"/>
    <col min="7693" max="7693" width="20" style="310" customWidth="1"/>
    <col min="7694" max="7694" width="13.7109375" style="310" bestFit="1" customWidth="1"/>
    <col min="7695" max="7695" width="18" style="310" customWidth="1"/>
    <col min="7696" max="7696" width="9.140625" style="310"/>
    <col min="7697" max="7697" width="11.7109375" style="310" bestFit="1" customWidth="1"/>
    <col min="7698" max="7936" width="9.140625" style="310"/>
    <col min="7937" max="7937" width="1.85546875" style="310" customWidth="1"/>
    <col min="7938" max="7938" width="12.42578125" style="310" bestFit="1" customWidth="1"/>
    <col min="7939" max="7939" width="9.140625" style="310"/>
    <col min="7940" max="7940" width="21.7109375" style="310" customWidth="1"/>
    <col min="7941" max="7942" width="13.85546875" style="310" bestFit="1" customWidth="1"/>
    <col min="7943" max="7943" width="5.42578125" style="310" customWidth="1"/>
    <col min="7944" max="7944" width="0" style="310" hidden="1" customWidth="1"/>
    <col min="7945" max="7945" width="24.140625" style="310" customWidth="1"/>
    <col min="7946" max="7946" width="0" style="310" hidden="1" customWidth="1"/>
    <col min="7947" max="7947" width="27.5703125" style="310" customWidth="1"/>
    <col min="7948" max="7948" width="0" style="310" hidden="1" customWidth="1"/>
    <col min="7949" max="7949" width="20" style="310" customWidth="1"/>
    <col min="7950" max="7950" width="13.7109375" style="310" bestFit="1" customWidth="1"/>
    <col min="7951" max="7951" width="18" style="310" customWidth="1"/>
    <col min="7952" max="7952" width="9.140625" style="310"/>
    <col min="7953" max="7953" width="11.7109375" style="310" bestFit="1" customWidth="1"/>
    <col min="7954" max="8192" width="9.140625" style="310"/>
    <col min="8193" max="8193" width="1.85546875" style="310" customWidth="1"/>
    <col min="8194" max="8194" width="12.42578125" style="310" bestFit="1" customWidth="1"/>
    <col min="8195" max="8195" width="9.140625" style="310"/>
    <col min="8196" max="8196" width="21.7109375" style="310" customWidth="1"/>
    <col min="8197" max="8198" width="13.85546875" style="310" bestFit="1" customWidth="1"/>
    <col min="8199" max="8199" width="5.42578125" style="310" customWidth="1"/>
    <col min="8200" max="8200" width="0" style="310" hidden="1" customWidth="1"/>
    <col min="8201" max="8201" width="24.140625" style="310" customWidth="1"/>
    <col min="8202" max="8202" width="0" style="310" hidden="1" customWidth="1"/>
    <col min="8203" max="8203" width="27.5703125" style="310" customWidth="1"/>
    <col min="8204" max="8204" width="0" style="310" hidden="1" customWidth="1"/>
    <col min="8205" max="8205" width="20" style="310" customWidth="1"/>
    <col min="8206" max="8206" width="13.7109375" style="310" bestFit="1" customWidth="1"/>
    <col min="8207" max="8207" width="18" style="310" customWidth="1"/>
    <col min="8208" max="8208" width="9.140625" style="310"/>
    <col min="8209" max="8209" width="11.7109375" style="310" bestFit="1" customWidth="1"/>
    <col min="8210" max="8448" width="9.140625" style="310"/>
    <col min="8449" max="8449" width="1.85546875" style="310" customWidth="1"/>
    <col min="8450" max="8450" width="12.42578125" style="310" bestFit="1" customWidth="1"/>
    <col min="8451" max="8451" width="9.140625" style="310"/>
    <col min="8452" max="8452" width="21.7109375" style="310" customWidth="1"/>
    <col min="8453" max="8454" width="13.85546875" style="310" bestFit="1" customWidth="1"/>
    <col min="8455" max="8455" width="5.42578125" style="310" customWidth="1"/>
    <col min="8456" max="8456" width="0" style="310" hidden="1" customWidth="1"/>
    <col min="8457" max="8457" width="24.140625" style="310" customWidth="1"/>
    <col min="8458" max="8458" width="0" style="310" hidden="1" customWidth="1"/>
    <col min="8459" max="8459" width="27.5703125" style="310" customWidth="1"/>
    <col min="8460" max="8460" width="0" style="310" hidden="1" customWidth="1"/>
    <col min="8461" max="8461" width="20" style="310" customWidth="1"/>
    <col min="8462" max="8462" width="13.7109375" style="310" bestFit="1" customWidth="1"/>
    <col min="8463" max="8463" width="18" style="310" customWidth="1"/>
    <col min="8464" max="8464" width="9.140625" style="310"/>
    <col min="8465" max="8465" width="11.7109375" style="310" bestFit="1" customWidth="1"/>
    <col min="8466" max="8704" width="9.140625" style="310"/>
    <col min="8705" max="8705" width="1.85546875" style="310" customWidth="1"/>
    <col min="8706" max="8706" width="12.42578125" style="310" bestFit="1" customWidth="1"/>
    <col min="8707" max="8707" width="9.140625" style="310"/>
    <col min="8708" max="8708" width="21.7109375" style="310" customWidth="1"/>
    <col min="8709" max="8710" width="13.85546875" style="310" bestFit="1" customWidth="1"/>
    <col min="8711" max="8711" width="5.42578125" style="310" customWidth="1"/>
    <col min="8712" max="8712" width="0" style="310" hidden="1" customWidth="1"/>
    <col min="8713" max="8713" width="24.140625" style="310" customWidth="1"/>
    <col min="8714" max="8714" width="0" style="310" hidden="1" customWidth="1"/>
    <col min="8715" max="8715" width="27.5703125" style="310" customWidth="1"/>
    <col min="8716" max="8716" width="0" style="310" hidden="1" customWidth="1"/>
    <col min="8717" max="8717" width="20" style="310" customWidth="1"/>
    <col min="8718" max="8718" width="13.7109375" style="310" bestFit="1" customWidth="1"/>
    <col min="8719" max="8719" width="18" style="310" customWidth="1"/>
    <col min="8720" max="8720" width="9.140625" style="310"/>
    <col min="8721" max="8721" width="11.7109375" style="310" bestFit="1" customWidth="1"/>
    <col min="8722" max="8960" width="9.140625" style="310"/>
    <col min="8961" max="8961" width="1.85546875" style="310" customWidth="1"/>
    <col min="8962" max="8962" width="12.42578125" style="310" bestFit="1" customWidth="1"/>
    <col min="8963" max="8963" width="9.140625" style="310"/>
    <col min="8964" max="8964" width="21.7109375" style="310" customWidth="1"/>
    <col min="8965" max="8966" width="13.85546875" style="310" bestFit="1" customWidth="1"/>
    <col min="8967" max="8967" width="5.42578125" style="310" customWidth="1"/>
    <col min="8968" max="8968" width="0" style="310" hidden="1" customWidth="1"/>
    <col min="8969" max="8969" width="24.140625" style="310" customWidth="1"/>
    <col min="8970" max="8970" width="0" style="310" hidden="1" customWidth="1"/>
    <col min="8971" max="8971" width="27.5703125" style="310" customWidth="1"/>
    <col min="8972" max="8972" width="0" style="310" hidden="1" customWidth="1"/>
    <col min="8973" max="8973" width="20" style="310" customWidth="1"/>
    <col min="8974" max="8974" width="13.7109375" style="310" bestFit="1" customWidth="1"/>
    <col min="8975" max="8975" width="18" style="310" customWidth="1"/>
    <col min="8976" max="8976" width="9.140625" style="310"/>
    <col min="8977" max="8977" width="11.7109375" style="310" bestFit="1" customWidth="1"/>
    <col min="8978" max="9216" width="9.140625" style="310"/>
    <col min="9217" max="9217" width="1.85546875" style="310" customWidth="1"/>
    <col min="9218" max="9218" width="12.42578125" style="310" bestFit="1" customWidth="1"/>
    <col min="9219" max="9219" width="9.140625" style="310"/>
    <col min="9220" max="9220" width="21.7109375" style="310" customWidth="1"/>
    <col min="9221" max="9222" width="13.85546875" style="310" bestFit="1" customWidth="1"/>
    <col min="9223" max="9223" width="5.42578125" style="310" customWidth="1"/>
    <col min="9224" max="9224" width="0" style="310" hidden="1" customWidth="1"/>
    <col min="9225" max="9225" width="24.140625" style="310" customWidth="1"/>
    <col min="9226" max="9226" width="0" style="310" hidden="1" customWidth="1"/>
    <col min="9227" max="9227" width="27.5703125" style="310" customWidth="1"/>
    <col min="9228" max="9228" width="0" style="310" hidden="1" customWidth="1"/>
    <col min="9229" max="9229" width="20" style="310" customWidth="1"/>
    <col min="9230" max="9230" width="13.7109375" style="310" bestFit="1" customWidth="1"/>
    <col min="9231" max="9231" width="18" style="310" customWidth="1"/>
    <col min="9232" max="9232" width="9.140625" style="310"/>
    <col min="9233" max="9233" width="11.7109375" style="310" bestFit="1" customWidth="1"/>
    <col min="9234" max="9472" width="9.140625" style="310"/>
    <col min="9473" max="9473" width="1.85546875" style="310" customWidth="1"/>
    <col min="9474" max="9474" width="12.42578125" style="310" bestFit="1" customWidth="1"/>
    <col min="9475" max="9475" width="9.140625" style="310"/>
    <col min="9476" max="9476" width="21.7109375" style="310" customWidth="1"/>
    <col min="9477" max="9478" width="13.85546875" style="310" bestFit="1" customWidth="1"/>
    <col min="9479" max="9479" width="5.42578125" style="310" customWidth="1"/>
    <col min="9480" max="9480" width="0" style="310" hidden="1" customWidth="1"/>
    <col min="9481" max="9481" width="24.140625" style="310" customWidth="1"/>
    <col min="9482" max="9482" width="0" style="310" hidden="1" customWidth="1"/>
    <col min="9483" max="9483" width="27.5703125" style="310" customWidth="1"/>
    <col min="9484" max="9484" width="0" style="310" hidden="1" customWidth="1"/>
    <col min="9485" max="9485" width="20" style="310" customWidth="1"/>
    <col min="9486" max="9486" width="13.7109375" style="310" bestFit="1" customWidth="1"/>
    <col min="9487" max="9487" width="18" style="310" customWidth="1"/>
    <col min="9488" max="9488" width="9.140625" style="310"/>
    <col min="9489" max="9489" width="11.7109375" style="310" bestFit="1" customWidth="1"/>
    <col min="9490" max="9728" width="9.140625" style="310"/>
    <col min="9729" max="9729" width="1.85546875" style="310" customWidth="1"/>
    <col min="9730" max="9730" width="12.42578125" style="310" bestFit="1" customWidth="1"/>
    <col min="9731" max="9731" width="9.140625" style="310"/>
    <col min="9732" max="9732" width="21.7109375" style="310" customWidth="1"/>
    <col min="9733" max="9734" width="13.85546875" style="310" bestFit="1" customWidth="1"/>
    <col min="9735" max="9735" width="5.42578125" style="310" customWidth="1"/>
    <col min="9736" max="9736" width="0" style="310" hidden="1" customWidth="1"/>
    <col min="9737" max="9737" width="24.140625" style="310" customWidth="1"/>
    <col min="9738" max="9738" width="0" style="310" hidden="1" customWidth="1"/>
    <col min="9739" max="9739" width="27.5703125" style="310" customWidth="1"/>
    <col min="9740" max="9740" width="0" style="310" hidden="1" customWidth="1"/>
    <col min="9741" max="9741" width="20" style="310" customWidth="1"/>
    <col min="9742" max="9742" width="13.7109375" style="310" bestFit="1" customWidth="1"/>
    <col min="9743" max="9743" width="18" style="310" customWidth="1"/>
    <col min="9744" max="9744" width="9.140625" style="310"/>
    <col min="9745" max="9745" width="11.7109375" style="310" bestFit="1" customWidth="1"/>
    <col min="9746" max="9984" width="9.140625" style="310"/>
    <col min="9985" max="9985" width="1.85546875" style="310" customWidth="1"/>
    <col min="9986" max="9986" width="12.42578125" style="310" bestFit="1" customWidth="1"/>
    <col min="9987" max="9987" width="9.140625" style="310"/>
    <col min="9988" max="9988" width="21.7109375" style="310" customWidth="1"/>
    <col min="9989" max="9990" width="13.85546875" style="310" bestFit="1" customWidth="1"/>
    <col min="9991" max="9991" width="5.42578125" style="310" customWidth="1"/>
    <col min="9992" max="9992" width="0" style="310" hidden="1" customWidth="1"/>
    <col min="9993" max="9993" width="24.140625" style="310" customWidth="1"/>
    <col min="9994" max="9994" width="0" style="310" hidden="1" customWidth="1"/>
    <col min="9995" max="9995" width="27.5703125" style="310" customWidth="1"/>
    <col min="9996" max="9996" width="0" style="310" hidden="1" customWidth="1"/>
    <col min="9997" max="9997" width="20" style="310" customWidth="1"/>
    <col min="9998" max="9998" width="13.7109375" style="310" bestFit="1" customWidth="1"/>
    <col min="9999" max="9999" width="18" style="310" customWidth="1"/>
    <col min="10000" max="10000" width="9.140625" style="310"/>
    <col min="10001" max="10001" width="11.7109375" style="310" bestFit="1" customWidth="1"/>
    <col min="10002" max="10240" width="9.140625" style="310"/>
    <col min="10241" max="10241" width="1.85546875" style="310" customWidth="1"/>
    <col min="10242" max="10242" width="12.42578125" style="310" bestFit="1" customWidth="1"/>
    <col min="10243" max="10243" width="9.140625" style="310"/>
    <col min="10244" max="10244" width="21.7109375" style="310" customWidth="1"/>
    <col min="10245" max="10246" width="13.85546875" style="310" bestFit="1" customWidth="1"/>
    <col min="10247" max="10247" width="5.42578125" style="310" customWidth="1"/>
    <col min="10248" max="10248" width="0" style="310" hidden="1" customWidth="1"/>
    <col min="10249" max="10249" width="24.140625" style="310" customWidth="1"/>
    <col min="10250" max="10250" width="0" style="310" hidden="1" customWidth="1"/>
    <col min="10251" max="10251" width="27.5703125" style="310" customWidth="1"/>
    <col min="10252" max="10252" width="0" style="310" hidden="1" customWidth="1"/>
    <col min="10253" max="10253" width="20" style="310" customWidth="1"/>
    <col min="10254" max="10254" width="13.7109375" style="310" bestFit="1" customWidth="1"/>
    <col min="10255" max="10255" width="18" style="310" customWidth="1"/>
    <col min="10256" max="10256" width="9.140625" style="310"/>
    <col min="10257" max="10257" width="11.7109375" style="310" bestFit="1" customWidth="1"/>
    <col min="10258" max="10496" width="9.140625" style="310"/>
    <col min="10497" max="10497" width="1.85546875" style="310" customWidth="1"/>
    <col min="10498" max="10498" width="12.42578125" style="310" bestFit="1" customWidth="1"/>
    <col min="10499" max="10499" width="9.140625" style="310"/>
    <col min="10500" max="10500" width="21.7109375" style="310" customWidth="1"/>
    <col min="10501" max="10502" width="13.85546875" style="310" bestFit="1" customWidth="1"/>
    <col min="10503" max="10503" width="5.42578125" style="310" customWidth="1"/>
    <col min="10504" max="10504" width="0" style="310" hidden="1" customWidth="1"/>
    <col min="10505" max="10505" width="24.140625" style="310" customWidth="1"/>
    <col min="10506" max="10506" width="0" style="310" hidden="1" customWidth="1"/>
    <col min="10507" max="10507" width="27.5703125" style="310" customWidth="1"/>
    <col min="10508" max="10508" width="0" style="310" hidden="1" customWidth="1"/>
    <col min="10509" max="10509" width="20" style="310" customWidth="1"/>
    <col min="10510" max="10510" width="13.7109375" style="310" bestFit="1" customWidth="1"/>
    <col min="10511" max="10511" width="18" style="310" customWidth="1"/>
    <col min="10512" max="10512" width="9.140625" style="310"/>
    <col min="10513" max="10513" width="11.7109375" style="310" bestFit="1" customWidth="1"/>
    <col min="10514" max="10752" width="9.140625" style="310"/>
    <col min="10753" max="10753" width="1.85546875" style="310" customWidth="1"/>
    <col min="10754" max="10754" width="12.42578125" style="310" bestFit="1" customWidth="1"/>
    <col min="10755" max="10755" width="9.140625" style="310"/>
    <col min="10756" max="10756" width="21.7109375" style="310" customWidth="1"/>
    <col min="10757" max="10758" width="13.85546875" style="310" bestFit="1" customWidth="1"/>
    <col min="10759" max="10759" width="5.42578125" style="310" customWidth="1"/>
    <col min="10760" max="10760" width="0" style="310" hidden="1" customWidth="1"/>
    <col min="10761" max="10761" width="24.140625" style="310" customWidth="1"/>
    <col min="10762" max="10762" width="0" style="310" hidden="1" customWidth="1"/>
    <col min="10763" max="10763" width="27.5703125" style="310" customWidth="1"/>
    <col min="10764" max="10764" width="0" style="310" hidden="1" customWidth="1"/>
    <col min="10765" max="10765" width="20" style="310" customWidth="1"/>
    <col min="10766" max="10766" width="13.7109375" style="310" bestFit="1" customWidth="1"/>
    <col min="10767" max="10767" width="18" style="310" customWidth="1"/>
    <col min="10768" max="10768" width="9.140625" style="310"/>
    <col min="10769" max="10769" width="11.7109375" style="310" bestFit="1" customWidth="1"/>
    <col min="10770" max="11008" width="9.140625" style="310"/>
    <col min="11009" max="11009" width="1.85546875" style="310" customWidth="1"/>
    <col min="11010" max="11010" width="12.42578125" style="310" bestFit="1" customWidth="1"/>
    <col min="11011" max="11011" width="9.140625" style="310"/>
    <col min="11012" max="11012" width="21.7109375" style="310" customWidth="1"/>
    <col min="11013" max="11014" width="13.85546875" style="310" bestFit="1" customWidth="1"/>
    <col min="11015" max="11015" width="5.42578125" style="310" customWidth="1"/>
    <col min="11016" max="11016" width="0" style="310" hidden="1" customWidth="1"/>
    <col min="11017" max="11017" width="24.140625" style="310" customWidth="1"/>
    <col min="11018" max="11018" width="0" style="310" hidden="1" customWidth="1"/>
    <col min="11019" max="11019" width="27.5703125" style="310" customWidth="1"/>
    <col min="11020" max="11020" width="0" style="310" hidden="1" customWidth="1"/>
    <col min="11021" max="11021" width="20" style="310" customWidth="1"/>
    <col min="11022" max="11022" width="13.7109375" style="310" bestFit="1" customWidth="1"/>
    <col min="11023" max="11023" width="18" style="310" customWidth="1"/>
    <col min="11024" max="11024" width="9.140625" style="310"/>
    <col min="11025" max="11025" width="11.7109375" style="310" bestFit="1" customWidth="1"/>
    <col min="11026" max="11264" width="9.140625" style="310"/>
    <col min="11265" max="11265" width="1.85546875" style="310" customWidth="1"/>
    <col min="11266" max="11266" width="12.42578125" style="310" bestFit="1" customWidth="1"/>
    <col min="11267" max="11267" width="9.140625" style="310"/>
    <col min="11268" max="11268" width="21.7109375" style="310" customWidth="1"/>
    <col min="11269" max="11270" width="13.85546875" style="310" bestFit="1" customWidth="1"/>
    <col min="11271" max="11271" width="5.42578125" style="310" customWidth="1"/>
    <col min="11272" max="11272" width="0" style="310" hidden="1" customWidth="1"/>
    <col min="11273" max="11273" width="24.140625" style="310" customWidth="1"/>
    <col min="11274" max="11274" width="0" style="310" hidden="1" customWidth="1"/>
    <col min="11275" max="11275" width="27.5703125" style="310" customWidth="1"/>
    <col min="11276" max="11276" width="0" style="310" hidden="1" customWidth="1"/>
    <col min="11277" max="11277" width="20" style="310" customWidth="1"/>
    <col min="11278" max="11278" width="13.7109375" style="310" bestFit="1" customWidth="1"/>
    <col min="11279" max="11279" width="18" style="310" customWidth="1"/>
    <col min="11280" max="11280" width="9.140625" style="310"/>
    <col min="11281" max="11281" width="11.7109375" style="310" bestFit="1" customWidth="1"/>
    <col min="11282" max="11520" width="9.140625" style="310"/>
    <col min="11521" max="11521" width="1.85546875" style="310" customWidth="1"/>
    <col min="11522" max="11522" width="12.42578125" style="310" bestFit="1" customWidth="1"/>
    <col min="11523" max="11523" width="9.140625" style="310"/>
    <col min="11524" max="11524" width="21.7109375" style="310" customWidth="1"/>
    <col min="11525" max="11526" width="13.85546875" style="310" bestFit="1" customWidth="1"/>
    <col min="11527" max="11527" width="5.42578125" style="310" customWidth="1"/>
    <col min="11528" max="11528" width="0" style="310" hidden="1" customWidth="1"/>
    <col min="11529" max="11529" width="24.140625" style="310" customWidth="1"/>
    <col min="11530" max="11530" width="0" style="310" hidden="1" customWidth="1"/>
    <col min="11531" max="11531" width="27.5703125" style="310" customWidth="1"/>
    <col min="11532" max="11532" width="0" style="310" hidden="1" customWidth="1"/>
    <col min="11533" max="11533" width="20" style="310" customWidth="1"/>
    <col min="11534" max="11534" width="13.7109375" style="310" bestFit="1" customWidth="1"/>
    <col min="11535" max="11535" width="18" style="310" customWidth="1"/>
    <col min="11536" max="11536" width="9.140625" style="310"/>
    <col min="11537" max="11537" width="11.7109375" style="310" bestFit="1" customWidth="1"/>
    <col min="11538" max="11776" width="9.140625" style="310"/>
    <col min="11777" max="11777" width="1.85546875" style="310" customWidth="1"/>
    <col min="11778" max="11778" width="12.42578125" style="310" bestFit="1" customWidth="1"/>
    <col min="11779" max="11779" width="9.140625" style="310"/>
    <col min="11780" max="11780" width="21.7109375" style="310" customWidth="1"/>
    <col min="11781" max="11782" width="13.85546875" style="310" bestFit="1" customWidth="1"/>
    <col min="11783" max="11783" width="5.42578125" style="310" customWidth="1"/>
    <col min="11784" max="11784" width="0" style="310" hidden="1" customWidth="1"/>
    <col min="11785" max="11785" width="24.140625" style="310" customWidth="1"/>
    <col min="11786" max="11786" width="0" style="310" hidden="1" customWidth="1"/>
    <col min="11787" max="11787" width="27.5703125" style="310" customWidth="1"/>
    <col min="11788" max="11788" width="0" style="310" hidden="1" customWidth="1"/>
    <col min="11789" max="11789" width="20" style="310" customWidth="1"/>
    <col min="11790" max="11790" width="13.7109375" style="310" bestFit="1" customWidth="1"/>
    <col min="11791" max="11791" width="18" style="310" customWidth="1"/>
    <col min="11792" max="11792" width="9.140625" style="310"/>
    <col min="11793" max="11793" width="11.7109375" style="310" bestFit="1" customWidth="1"/>
    <col min="11794" max="12032" width="9.140625" style="310"/>
    <col min="12033" max="12033" width="1.85546875" style="310" customWidth="1"/>
    <col min="12034" max="12034" width="12.42578125" style="310" bestFit="1" customWidth="1"/>
    <col min="12035" max="12035" width="9.140625" style="310"/>
    <col min="12036" max="12036" width="21.7109375" style="310" customWidth="1"/>
    <col min="12037" max="12038" width="13.85546875" style="310" bestFit="1" customWidth="1"/>
    <col min="12039" max="12039" width="5.42578125" style="310" customWidth="1"/>
    <col min="12040" max="12040" width="0" style="310" hidden="1" customWidth="1"/>
    <col min="12041" max="12041" width="24.140625" style="310" customWidth="1"/>
    <col min="12042" max="12042" width="0" style="310" hidden="1" customWidth="1"/>
    <col min="12043" max="12043" width="27.5703125" style="310" customWidth="1"/>
    <col min="12044" max="12044" width="0" style="310" hidden="1" customWidth="1"/>
    <col min="12045" max="12045" width="20" style="310" customWidth="1"/>
    <col min="12046" max="12046" width="13.7109375" style="310" bestFit="1" customWidth="1"/>
    <col min="12047" max="12047" width="18" style="310" customWidth="1"/>
    <col min="12048" max="12048" width="9.140625" style="310"/>
    <col min="12049" max="12049" width="11.7109375" style="310" bestFit="1" customWidth="1"/>
    <col min="12050" max="12288" width="9.140625" style="310"/>
    <col min="12289" max="12289" width="1.85546875" style="310" customWidth="1"/>
    <col min="12290" max="12290" width="12.42578125" style="310" bestFit="1" customWidth="1"/>
    <col min="12291" max="12291" width="9.140625" style="310"/>
    <col min="12292" max="12292" width="21.7109375" style="310" customWidth="1"/>
    <col min="12293" max="12294" width="13.85546875" style="310" bestFit="1" customWidth="1"/>
    <col min="12295" max="12295" width="5.42578125" style="310" customWidth="1"/>
    <col min="12296" max="12296" width="0" style="310" hidden="1" customWidth="1"/>
    <col min="12297" max="12297" width="24.140625" style="310" customWidth="1"/>
    <col min="12298" max="12298" width="0" style="310" hidden="1" customWidth="1"/>
    <col min="12299" max="12299" width="27.5703125" style="310" customWidth="1"/>
    <col min="12300" max="12300" width="0" style="310" hidden="1" customWidth="1"/>
    <col min="12301" max="12301" width="20" style="310" customWidth="1"/>
    <col min="12302" max="12302" width="13.7109375" style="310" bestFit="1" customWidth="1"/>
    <col min="12303" max="12303" width="18" style="310" customWidth="1"/>
    <col min="12304" max="12304" width="9.140625" style="310"/>
    <col min="12305" max="12305" width="11.7109375" style="310" bestFit="1" customWidth="1"/>
    <col min="12306" max="12544" width="9.140625" style="310"/>
    <col min="12545" max="12545" width="1.85546875" style="310" customWidth="1"/>
    <col min="12546" max="12546" width="12.42578125" style="310" bestFit="1" customWidth="1"/>
    <col min="12547" max="12547" width="9.140625" style="310"/>
    <col min="12548" max="12548" width="21.7109375" style="310" customWidth="1"/>
    <col min="12549" max="12550" width="13.85546875" style="310" bestFit="1" customWidth="1"/>
    <col min="12551" max="12551" width="5.42578125" style="310" customWidth="1"/>
    <col min="12552" max="12552" width="0" style="310" hidden="1" customWidth="1"/>
    <col min="12553" max="12553" width="24.140625" style="310" customWidth="1"/>
    <col min="12554" max="12554" width="0" style="310" hidden="1" customWidth="1"/>
    <col min="12555" max="12555" width="27.5703125" style="310" customWidth="1"/>
    <col min="12556" max="12556" width="0" style="310" hidden="1" customWidth="1"/>
    <col min="12557" max="12557" width="20" style="310" customWidth="1"/>
    <col min="12558" max="12558" width="13.7109375" style="310" bestFit="1" customWidth="1"/>
    <col min="12559" max="12559" width="18" style="310" customWidth="1"/>
    <col min="12560" max="12560" width="9.140625" style="310"/>
    <col min="12561" max="12561" width="11.7109375" style="310" bestFit="1" customWidth="1"/>
    <col min="12562" max="12800" width="9.140625" style="310"/>
    <col min="12801" max="12801" width="1.85546875" style="310" customWidth="1"/>
    <col min="12802" max="12802" width="12.42578125" style="310" bestFit="1" customWidth="1"/>
    <col min="12803" max="12803" width="9.140625" style="310"/>
    <col min="12804" max="12804" width="21.7109375" style="310" customWidth="1"/>
    <col min="12805" max="12806" width="13.85546875" style="310" bestFit="1" customWidth="1"/>
    <col min="12807" max="12807" width="5.42578125" style="310" customWidth="1"/>
    <col min="12808" max="12808" width="0" style="310" hidden="1" customWidth="1"/>
    <col min="12809" max="12809" width="24.140625" style="310" customWidth="1"/>
    <col min="12810" max="12810" width="0" style="310" hidden="1" customWidth="1"/>
    <col min="12811" max="12811" width="27.5703125" style="310" customWidth="1"/>
    <col min="12812" max="12812" width="0" style="310" hidden="1" customWidth="1"/>
    <col min="12813" max="12813" width="20" style="310" customWidth="1"/>
    <col min="12814" max="12814" width="13.7109375" style="310" bestFit="1" customWidth="1"/>
    <col min="12815" max="12815" width="18" style="310" customWidth="1"/>
    <col min="12816" max="12816" width="9.140625" style="310"/>
    <col min="12817" max="12817" width="11.7109375" style="310" bestFit="1" customWidth="1"/>
    <col min="12818" max="13056" width="9.140625" style="310"/>
    <col min="13057" max="13057" width="1.85546875" style="310" customWidth="1"/>
    <col min="13058" max="13058" width="12.42578125" style="310" bestFit="1" customWidth="1"/>
    <col min="13059" max="13059" width="9.140625" style="310"/>
    <col min="13060" max="13060" width="21.7109375" style="310" customWidth="1"/>
    <col min="13061" max="13062" width="13.85546875" style="310" bestFit="1" customWidth="1"/>
    <col min="13063" max="13063" width="5.42578125" style="310" customWidth="1"/>
    <col min="13064" max="13064" width="0" style="310" hidden="1" customWidth="1"/>
    <col min="13065" max="13065" width="24.140625" style="310" customWidth="1"/>
    <col min="13066" max="13066" width="0" style="310" hidden="1" customWidth="1"/>
    <col min="13067" max="13067" width="27.5703125" style="310" customWidth="1"/>
    <col min="13068" max="13068" width="0" style="310" hidden="1" customWidth="1"/>
    <col min="13069" max="13069" width="20" style="310" customWidth="1"/>
    <col min="13070" max="13070" width="13.7109375" style="310" bestFit="1" customWidth="1"/>
    <col min="13071" max="13071" width="18" style="310" customWidth="1"/>
    <col min="13072" max="13072" width="9.140625" style="310"/>
    <col min="13073" max="13073" width="11.7109375" style="310" bestFit="1" customWidth="1"/>
    <col min="13074" max="13312" width="9.140625" style="310"/>
    <col min="13313" max="13313" width="1.85546875" style="310" customWidth="1"/>
    <col min="13314" max="13314" width="12.42578125" style="310" bestFit="1" customWidth="1"/>
    <col min="13315" max="13315" width="9.140625" style="310"/>
    <col min="13316" max="13316" width="21.7109375" style="310" customWidth="1"/>
    <col min="13317" max="13318" width="13.85546875" style="310" bestFit="1" customWidth="1"/>
    <col min="13319" max="13319" width="5.42578125" style="310" customWidth="1"/>
    <col min="13320" max="13320" width="0" style="310" hidden="1" customWidth="1"/>
    <col min="13321" max="13321" width="24.140625" style="310" customWidth="1"/>
    <col min="13322" max="13322" width="0" style="310" hidden="1" customWidth="1"/>
    <col min="13323" max="13323" width="27.5703125" style="310" customWidth="1"/>
    <col min="13324" max="13324" width="0" style="310" hidden="1" customWidth="1"/>
    <col min="13325" max="13325" width="20" style="310" customWidth="1"/>
    <col min="13326" max="13326" width="13.7109375" style="310" bestFit="1" customWidth="1"/>
    <col min="13327" max="13327" width="18" style="310" customWidth="1"/>
    <col min="13328" max="13328" width="9.140625" style="310"/>
    <col min="13329" max="13329" width="11.7109375" style="310" bestFit="1" customWidth="1"/>
    <col min="13330" max="13568" width="9.140625" style="310"/>
    <col min="13569" max="13569" width="1.85546875" style="310" customWidth="1"/>
    <col min="13570" max="13570" width="12.42578125" style="310" bestFit="1" customWidth="1"/>
    <col min="13571" max="13571" width="9.140625" style="310"/>
    <col min="13572" max="13572" width="21.7109375" style="310" customWidth="1"/>
    <col min="13573" max="13574" width="13.85546875" style="310" bestFit="1" customWidth="1"/>
    <col min="13575" max="13575" width="5.42578125" style="310" customWidth="1"/>
    <col min="13576" max="13576" width="0" style="310" hidden="1" customWidth="1"/>
    <col min="13577" max="13577" width="24.140625" style="310" customWidth="1"/>
    <col min="13578" max="13578" width="0" style="310" hidden="1" customWidth="1"/>
    <col min="13579" max="13579" width="27.5703125" style="310" customWidth="1"/>
    <col min="13580" max="13580" width="0" style="310" hidden="1" customWidth="1"/>
    <col min="13581" max="13581" width="20" style="310" customWidth="1"/>
    <col min="13582" max="13582" width="13.7109375" style="310" bestFit="1" customWidth="1"/>
    <col min="13583" max="13583" width="18" style="310" customWidth="1"/>
    <col min="13584" max="13584" width="9.140625" style="310"/>
    <col min="13585" max="13585" width="11.7109375" style="310" bestFit="1" customWidth="1"/>
    <col min="13586" max="13824" width="9.140625" style="310"/>
    <col min="13825" max="13825" width="1.85546875" style="310" customWidth="1"/>
    <col min="13826" max="13826" width="12.42578125" style="310" bestFit="1" customWidth="1"/>
    <col min="13827" max="13827" width="9.140625" style="310"/>
    <col min="13828" max="13828" width="21.7109375" style="310" customWidth="1"/>
    <col min="13829" max="13830" width="13.85546875" style="310" bestFit="1" customWidth="1"/>
    <col min="13831" max="13831" width="5.42578125" style="310" customWidth="1"/>
    <col min="13832" max="13832" width="0" style="310" hidden="1" customWidth="1"/>
    <col min="13833" max="13833" width="24.140625" style="310" customWidth="1"/>
    <col min="13834" max="13834" width="0" style="310" hidden="1" customWidth="1"/>
    <col min="13835" max="13835" width="27.5703125" style="310" customWidth="1"/>
    <col min="13836" max="13836" width="0" style="310" hidden="1" customWidth="1"/>
    <col min="13837" max="13837" width="20" style="310" customWidth="1"/>
    <col min="13838" max="13838" width="13.7109375" style="310" bestFit="1" customWidth="1"/>
    <col min="13839" max="13839" width="18" style="310" customWidth="1"/>
    <col min="13840" max="13840" width="9.140625" style="310"/>
    <col min="13841" max="13841" width="11.7109375" style="310" bestFit="1" customWidth="1"/>
    <col min="13842" max="14080" width="9.140625" style="310"/>
    <col min="14081" max="14081" width="1.85546875" style="310" customWidth="1"/>
    <col min="14082" max="14082" width="12.42578125" style="310" bestFit="1" customWidth="1"/>
    <col min="14083" max="14083" width="9.140625" style="310"/>
    <col min="14084" max="14084" width="21.7109375" style="310" customWidth="1"/>
    <col min="14085" max="14086" width="13.85546875" style="310" bestFit="1" customWidth="1"/>
    <col min="14087" max="14087" width="5.42578125" style="310" customWidth="1"/>
    <col min="14088" max="14088" width="0" style="310" hidden="1" customWidth="1"/>
    <col min="14089" max="14089" width="24.140625" style="310" customWidth="1"/>
    <col min="14090" max="14090" width="0" style="310" hidden="1" customWidth="1"/>
    <col min="14091" max="14091" width="27.5703125" style="310" customWidth="1"/>
    <col min="14092" max="14092" width="0" style="310" hidden="1" customWidth="1"/>
    <col min="14093" max="14093" width="20" style="310" customWidth="1"/>
    <col min="14094" max="14094" width="13.7109375" style="310" bestFit="1" customWidth="1"/>
    <col min="14095" max="14095" width="18" style="310" customWidth="1"/>
    <col min="14096" max="14096" width="9.140625" style="310"/>
    <col min="14097" max="14097" width="11.7109375" style="310" bestFit="1" customWidth="1"/>
    <col min="14098" max="14336" width="9.140625" style="310"/>
    <col min="14337" max="14337" width="1.85546875" style="310" customWidth="1"/>
    <col min="14338" max="14338" width="12.42578125" style="310" bestFit="1" customWidth="1"/>
    <col min="14339" max="14339" width="9.140625" style="310"/>
    <col min="14340" max="14340" width="21.7109375" style="310" customWidth="1"/>
    <col min="14341" max="14342" width="13.85546875" style="310" bestFit="1" customWidth="1"/>
    <col min="14343" max="14343" width="5.42578125" style="310" customWidth="1"/>
    <col min="14344" max="14344" width="0" style="310" hidden="1" customWidth="1"/>
    <col min="14345" max="14345" width="24.140625" style="310" customWidth="1"/>
    <col min="14346" max="14346" width="0" style="310" hidden="1" customWidth="1"/>
    <col min="14347" max="14347" width="27.5703125" style="310" customWidth="1"/>
    <col min="14348" max="14348" width="0" style="310" hidden="1" customWidth="1"/>
    <col min="14349" max="14349" width="20" style="310" customWidth="1"/>
    <col min="14350" max="14350" width="13.7109375" style="310" bestFit="1" customWidth="1"/>
    <col min="14351" max="14351" width="18" style="310" customWidth="1"/>
    <col min="14352" max="14352" width="9.140625" style="310"/>
    <col min="14353" max="14353" width="11.7109375" style="310" bestFit="1" customWidth="1"/>
    <col min="14354" max="14592" width="9.140625" style="310"/>
    <col min="14593" max="14593" width="1.85546875" style="310" customWidth="1"/>
    <col min="14594" max="14594" width="12.42578125" style="310" bestFit="1" customWidth="1"/>
    <col min="14595" max="14595" width="9.140625" style="310"/>
    <col min="14596" max="14596" width="21.7109375" style="310" customWidth="1"/>
    <col min="14597" max="14598" width="13.85546875" style="310" bestFit="1" customWidth="1"/>
    <col min="14599" max="14599" width="5.42578125" style="310" customWidth="1"/>
    <col min="14600" max="14600" width="0" style="310" hidden="1" customWidth="1"/>
    <col min="14601" max="14601" width="24.140625" style="310" customWidth="1"/>
    <col min="14602" max="14602" width="0" style="310" hidden="1" customWidth="1"/>
    <col min="14603" max="14603" width="27.5703125" style="310" customWidth="1"/>
    <col min="14604" max="14604" width="0" style="310" hidden="1" customWidth="1"/>
    <col min="14605" max="14605" width="20" style="310" customWidth="1"/>
    <col min="14606" max="14606" width="13.7109375" style="310" bestFit="1" customWidth="1"/>
    <col min="14607" max="14607" width="18" style="310" customWidth="1"/>
    <col min="14608" max="14608" width="9.140625" style="310"/>
    <col min="14609" max="14609" width="11.7109375" style="310" bestFit="1" customWidth="1"/>
    <col min="14610" max="14848" width="9.140625" style="310"/>
    <col min="14849" max="14849" width="1.85546875" style="310" customWidth="1"/>
    <col min="14850" max="14850" width="12.42578125" style="310" bestFit="1" customWidth="1"/>
    <col min="14851" max="14851" width="9.140625" style="310"/>
    <col min="14852" max="14852" width="21.7109375" style="310" customWidth="1"/>
    <col min="14853" max="14854" width="13.85546875" style="310" bestFit="1" customWidth="1"/>
    <col min="14855" max="14855" width="5.42578125" style="310" customWidth="1"/>
    <col min="14856" max="14856" width="0" style="310" hidden="1" customWidth="1"/>
    <col min="14857" max="14857" width="24.140625" style="310" customWidth="1"/>
    <col min="14858" max="14858" width="0" style="310" hidden="1" customWidth="1"/>
    <col min="14859" max="14859" width="27.5703125" style="310" customWidth="1"/>
    <col min="14860" max="14860" width="0" style="310" hidden="1" customWidth="1"/>
    <col min="14861" max="14861" width="20" style="310" customWidth="1"/>
    <col min="14862" max="14862" width="13.7109375" style="310" bestFit="1" customWidth="1"/>
    <col min="14863" max="14863" width="18" style="310" customWidth="1"/>
    <col min="14864" max="14864" width="9.140625" style="310"/>
    <col min="14865" max="14865" width="11.7109375" style="310" bestFit="1" customWidth="1"/>
    <col min="14866" max="15104" width="9.140625" style="310"/>
    <col min="15105" max="15105" width="1.85546875" style="310" customWidth="1"/>
    <col min="15106" max="15106" width="12.42578125" style="310" bestFit="1" customWidth="1"/>
    <col min="15107" max="15107" width="9.140625" style="310"/>
    <col min="15108" max="15108" width="21.7109375" style="310" customWidth="1"/>
    <col min="15109" max="15110" width="13.85546875" style="310" bestFit="1" customWidth="1"/>
    <col min="15111" max="15111" width="5.42578125" style="310" customWidth="1"/>
    <col min="15112" max="15112" width="0" style="310" hidden="1" customWidth="1"/>
    <col min="15113" max="15113" width="24.140625" style="310" customWidth="1"/>
    <col min="15114" max="15114" width="0" style="310" hidden="1" customWidth="1"/>
    <col min="15115" max="15115" width="27.5703125" style="310" customWidth="1"/>
    <col min="15116" max="15116" width="0" style="310" hidden="1" customWidth="1"/>
    <col min="15117" max="15117" width="20" style="310" customWidth="1"/>
    <col min="15118" max="15118" width="13.7109375" style="310" bestFit="1" customWidth="1"/>
    <col min="15119" max="15119" width="18" style="310" customWidth="1"/>
    <col min="15120" max="15120" width="9.140625" style="310"/>
    <col min="15121" max="15121" width="11.7109375" style="310" bestFit="1" customWidth="1"/>
    <col min="15122" max="15360" width="9.140625" style="310"/>
    <col min="15361" max="15361" width="1.85546875" style="310" customWidth="1"/>
    <col min="15362" max="15362" width="12.42578125" style="310" bestFit="1" customWidth="1"/>
    <col min="15363" max="15363" width="9.140625" style="310"/>
    <col min="15364" max="15364" width="21.7109375" style="310" customWidth="1"/>
    <col min="15365" max="15366" width="13.85546875" style="310" bestFit="1" customWidth="1"/>
    <col min="15367" max="15367" width="5.42578125" style="310" customWidth="1"/>
    <col min="15368" max="15368" width="0" style="310" hidden="1" customWidth="1"/>
    <col min="15369" max="15369" width="24.140625" style="310" customWidth="1"/>
    <col min="15370" max="15370" width="0" style="310" hidden="1" customWidth="1"/>
    <col min="15371" max="15371" width="27.5703125" style="310" customWidth="1"/>
    <col min="15372" max="15372" width="0" style="310" hidden="1" customWidth="1"/>
    <col min="15373" max="15373" width="20" style="310" customWidth="1"/>
    <col min="15374" max="15374" width="13.7109375" style="310" bestFit="1" customWidth="1"/>
    <col min="15375" max="15375" width="18" style="310" customWidth="1"/>
    <col min="15376" max="15376" width="9.140625" style="310"/>
    <col min="15377" max="15377" width="11.7109375" style="310" bestFit="1" customWidth="1"/>
    <col min="15378" max="15616" width="9.140625" style="310"/>
    <col min="15617" max="15617" width="1.85546875" style="310" customWidth="1"/>
    <col min="15618" max="15618" width="12.42578125" style="310" bestFit="1" customWidth="1"/>
    <col min="15619" max="15619" width="9.140625" style="310"/>
    <col min="15620" max="15620" width="21.7109375" style="310" customWidth="1"/>
    <col min="15621" max="15622" width="13.85546875" style="310" bestFit="1" customWidth="1"/>
    <col min="15623" max="15623" width="5.42578125" style="310" customWidth="1"/>
    <col min="15624" max="15624" width="0" style="310" hidden="1" customWidth="1"/>
    <col min="15625" max="15625" width="24.140625" style="310" customWidth="1"/>
    <col min="15626" max="15626" width="0" style="310" hidden="1" customWidth="1"/>
    <col min="15627" max="15627" width="27.5703125" style="310" customWidth="1"/>
    <col min="15628" max="15628" width="0" style="310" hidden="1" customWidth="1"/>
    <col min="15629" max="15629" width="20" style="310" customWidth="1"/>
    <col min="15630" max="15630" width="13.7109375" style="310" bestFit="1" customWidth="1"/>
    <col min="15631" max="15631" width="18" style="310" customWidth="1"/>
    <col min="15632" max="15632" width="9.140625" style="310"/>
    <col min="15633" max="15633" width="11.7109375" style="310" bestFit="1" customWidth="1"/>
    <col min="15634" max="15872" width="9.140625" style="310"/>
    <col min="15873" max="15873" width="1.85546875" style="310" customWidth="1"/>
    <col min="15874" max="15874" width="12.42578125" style="310" bestFit="1" customWidth="1"/>
    <col min="15875" max="15875" width="9.140625" style="310"/>
    <col min="15876" max="15876" width="21.7109375" style="310" customWidth="1"/>
    <col min="15877" max="15878" width="13.85546875" style="310" bestFit="1" customWidth="1"/>
    <col min="15879" max="15879" width="5.42578125" style="310" customWidth="1"/>
    <col min="15880" max="15880" width="0" style="310" hidden="1" customWidth="1"/>
    <col min="15881" max="15881" width="24.140625" style="310" customWidth="1"/>
    <col min="15882" max="15882" width="0" style="310" hidden="1" customWidth="1"/>
    <col min="15883" max="15883" width="27.5703125" style="310" customWidth="1"/>
    <col min="15884" max="15884" width="0" style="310" hidden="1" customWidth="1"/>
    <col min="15885" max="15885" width="20" style="310" customWidth="1"/>
    <col min="15886" max="15886" width="13.7109375" style="310" bestFit="1" customWidth="1"/>
    <col min="15887" max="15887" width="18" style="310" customWidth="1"/>
    <col min="15888" max="15888" width="9.140625" style="310"/>
    <col min="15889" max="15889" width="11.7109375" style="310" bestFit="1" customWidth="1"/>
    <col min="15890" max="16128" width="9.140625" style="310"/>
    <col min="16129" max="16129" width="1.85546875" style="310" customWidth="1"/>
    <col min="16130" max="16130" width="12.42578125" style="310" bestFit="1" customWidth="1"/>
    <col min="16131" max="16131" width="9.140625" style="310"/>
    <col min="16132" max="16132" width="21.7109375" style="310" customWidth="1"/>
    <col min="16133" max="16134" width="13.85546875" style="310" bestFit="1" customWidth="1"/>
    <col min="16135" max="16135" width="5.42578125" style="310" customWidth="1"/>
    <col min="16136" max="16136" width="0" style="310" hidden="1" customWidth="1"/>
    <col min="16137" max="16137" width="24.140625" style="310" customWidth="1"/>
    <col min="16138" max="16138" width="0" style="310" hidden="1" customWidth="1"/>
    <col min="16139" max="16139" width="27.5703125" style="310" customWidth="1"/>
    <col min="16140" max="16140" width="0" style="310" hidden="1" customWidth="1"/>
    <col min="16141" max="16141" width="20" style="310" customWidth="1"/>
    <col min="16142" max="16142" width="13.7109375" style="310" bestFit="1" customWidth="1"/>
    <col min="16143" max="16143" width="18" style="310" customWidth="1"/>
    <col min="16144" max="16144" width="9.140625" style="310"/>
    <col min="16145" max="16145" width="11.7109375" style="310" bestFit="1" customWidth="1"/>
    <col min="16146" max="16384" width="9.140625" style="310"/>
  </cols>
  <sheetData>
    <row r="1" spans="2:20" ht="13.5" thickBot="1" x14ac:dyDescent="0.25">
      <c r="K1" s="350"/>
    </row>
    <row r="2" spans="2:20" x14ac:dyDescent="0.2">
      <c r="B2" s="793" t="s">
        <v>536</v>
      </c>
      <c r="C2" s="794"/>
      <c r="D2" s="795"/>
      <c r="E2" s="311"/>
      <c r="F2" s="311"/>
      <c r="G2" s="311"/>
      <c r="H2" s="311"/>
      <c r="I2" s="312"/>
      <c r="J2" s="311"/>
      <c r="K2" s="313" t="s">
        <v>448</v>
      </c>
    </row>
    <row r="3" spans="2:20" x14ac:dyDescent="0.2">
      <c r="B3" s="314" t="s">
        <v>537</v>
      </c>
      <c r="D3" s="315"/>
      <c r="I3" s="325"/>
      <c r="K3" s="316"/>
    </row>
    <row r="4" spans="2:20" x14ac:dyDescent="0.2">
      <c r="B4" s="317" t="s">
        <v>539</v>
      </c>
      <c r="D4" s="315"/>
      <c r="I4" s="325"/>
      <c r="K4" s="394" t="s">
        <v>451</v>
      </c>
    </row>
    <row r="5" spans="2:20" x14ac:dyDescent="0.2">
      <c r="B5" s="317" t="s">
        <v>458</v>
      </c>
      <c r="D5" s="315"/>
      <c r="E5" s="796" t="s">
        <v>568</v>
      </c>
      <c r="F5" s="782"/>
      <c r="G5" s="782"/>
      <c r="H5" s="782"/>
      <c r="I5" s="783"/>
      <c r="K5" s="394" t="s">
        <v>454</v>
      </c>
    </row>
    <row r="6" spans="2:20" x14ac:dyDescent="0.2">
      <c r="B6" s="318"/>
      <c r="C6" s="319"/>
      <c r="D6" s="320"/>
      <c r="E6" s="796" t="s">
        <v>569</v>
      </c>
      <c r="F6" s="781"/>
      <c r="G6" s="781"/>
      <c r="H6" s="781"/>
      <c r="I6" s="807"/>
      <c r="K6" s="394" t="s">
        <v>457</v>
      </c>
    </row>
    <row r="7" spans="2:20" x14ac:dyDescent="0.2">
      <c r="B7" s="322" t="s">
        <v>463</v>
      </c>
      <c r="C7" s="323"/>
      <c r="D7" s="324"/>
      <c r="I7" s="325"/>
      <c r="K7" s="321"/>
    </row>
    <row r="8" spans="2:20" x14ac:dyDescent="0.2">
      <c r="B8" s="317"/>
      <c r="D8" s="315"/>
      <c r="E8" s="782" t="s">
        <v>619</v>
      </c>
      <c r="F8" s="782"/>
      <c r="G8" s="782"/>
      <c r="H8" s="782"/>
      <c r="I8" s="783"/>
      <c r="K8" s="321"/>
    </row>
    <row r="9" spans="2:20" x14ac:dyDescent="0.2">
      <c r="B9" s="326" t="s">
        <v>45</v>
      </c>
      <c r="D9" s="315"/>
      <c r="I9" s="325"/>
      <c r="K9" s="316"/>
    </row>
    <row r="10" spans="2:20" ht="13.5" thickBot="1" x14ac:dyDescent="0.25">
      <c r="B10" s="327"/>
      <c r="C10" s="328"/>
      <c r="D10" s="329"/>
      <c r="E10" s="328"/>
      <c r="F10" s="328"/>
      <c r="G10" s="328"/>
      <c r="H10" s="328"/>
      <c r="I10" s="330"/>
      <c r="J10" s="328"/>
      <c r="K10" s="395"/>
    </row>
    <row r="11" spans="2:20" ht="13.5" hidden="1" thickBot="1" x14ac:dyDescent="0.25">
      <c r="B11" s="327"/>
      <c r="C11" s="328"/>
      <c r="D11" s="330"/>
      <c r="E11" s="332"/>
      <c r="F11" s="328"/>
      <c r="G11" s="328"/>
      <c r="H11" s="328"/>
      <c r="I11" s="330"/>
      <c r="J11" s="328"/>
      <c r="K11" s="333"/>
    </row>
    <row r="12" spans="2:20" ht="39" thickBot="1" x14ac:dyDescent="0.25">
      <c r="B12" s="327"/>
      <c r="C12" s="328"/>
      <c r="D12" s="328"/>
      <c r="E12" s="328"/>
      <c r="F12" s="328"/>
      <c r="G12" s="329"/>
      <c r="I12" s="396" t="s">
        <v>543</v>
      </c>
      <c r="J12" s="470"/>
      <c r="K12" s="338" t="s">
        <v>544</v>
      </c>
    </row>
    <row r="13" spans="2:20" ht="13.5" hidden="1" thickBot="1" x14ac:dyDescent="0.25">
      <c r="B13" s="317"/>
      <c r="I13" s="340"/>
      <c r="J13" s="341"/>
      <c r="K13" s="469"/>
    </row>
    <row r="14" spans="2:20" ht="13.5" hidden="1" thickBot="1" x14ac:dyDescent="0.25">
      <c r="B14" s="317"/>
      <c r="I14" s="342"/>
      <c r="J14" s="343"/>
      <c r="K14" s="414"/>
    </row>
    <row r="15" spans="2:20" s="350" customFormat="1" ht="20.100000000000001" customHeight="1" x14ac:dyDescent="0.2">
      <c r="B15" s="344" t="s">
        <v>570</v>
      </c>
      <c r="C15" s="397"/>
      <c r="D15" s="397"/>
      <c r="E15" s="397"/>
      <c r="F15" s="397"/>
      <c r="G15" s="398"/>
      <c r="H15" s="399"/>
      <c r="I15" s="401">
        <v>995638204.47000003</v>
      </c>
      <c r="J15" s="400">
        <v>11151814583.68</v>
      </c>
      <c r="K15" s="401">
        <f>I38</f>
        <v>912443996.67000008</v>
      </c>
      <c r="M15" s="351"/>
      <c r="N15" s="428"/>
      <c r="Q15" s="351"/>
      <c r="S15" s="437"/>
      <c r="T15" s="437"/>
    </row>
    <row r="16" spans="2:20" s="350" customFormat="1" ht="20.100000000000001" customHeight="1" x14ac:dyDescent="0.2">
      <c r="B16" s="373" t="s">
        <v>571</v>
      </c>
      <c r="C16" s="402"/>
      <c r="D16" s="402"/>
      <c r="E16" s="402"/>
      <c r="F16" s="402"/>
      <c r="G16" s="403"/>
      <c r="I16" s="405">
        <f>SUM(I17:I26)</f>
        <v>328537569.99000007</v>
      </c>
      <c r="J16" s="404">
        <f>SUM(J17:J26)</f>
        <v>268172770.27000004</v>
      </c>
      <c r="K16" s="405">
        <f>SUM(K17:K26)</f>
        <v>386079285.53000003</v>
      </c>
      <c r="M16" s="351"/>
      <c r="N16" s="732"/>
      <c r="Q16" s="351"/>
      <c r="S16" s="437"/>
      <c r="T16" s="437"/>
    </row>
    <row r="17" spans="2:20" ht="20.100000000000001" customHeight="1" x14ac:dyDescent="0.2">
      <c r="B17" s="318" t="s">
        <v>572</v>
      </c>
      <c r="C17" s="319"/>
      <c r="D17" s="319"/>
      <c r="E17" s="319"/>
      <c r="F17" s="319"/>
      <c r="G17" s="320"/>
      <c r="I17" s="412">
        <v>0</v>
      </c>
      <c r="J17" s="406"/>
      <c r="K17" s="412">
        <v>0</v>
      </c>
      <c r="L17" s="310">
        <v>0</v>
      </c>
      <c r="M17" s="351"/>
      <c r="Q17" s="351"/>
      <c r="S17" s="437"/>
      <c r="T17" s="437"/>
    </row>
    <row r="18" spans="2:20" ht="20.100000000000001" customHeight="1" x14ac:dyDescent="0.2">
      <c r="B18" s="318" t="s">
        <v>573</v>
      </c>
      <c r="C18" s="319"/>
      <c r="D18" s="319"/>
      <c r="E18" s="319"/>
      <c r="F18" s="319"/>
      <c r="G18" s="320"/>
      <c r="I18" s="412">
        <v>280603163.5</v>
      </c>
      <c r="J18" s="406">
        <v>238930678.65000001</v>
      </c>
      <c r="K18" s="412">
        <f>269492971.35+166659.19</f>
        <v>269659630.54000002</v>
      </c>
      <c r="M18" s="351"/>
      <c r="Q18" s="351"/>
    </row>
    <row r="19" spans="2:20" ht="16.5" customHeight="1" x14ac:dyDescent="0.2">
      <c r="B19" s="799" t="s">
        <v>574</v>
      </c>
      <c r="C19" s="800"/>
      <c r="D19" s="800"/>
      <c r="E19" s="800"/>
      <c r="F19" s="800"/>
      <c r="G19" s="801"/>
      <c r="I19" s="412">
        <v>0</v>
      </c>
      <c r="J19" s="406">
        <v>0</v>
      </c>
      <c r="K19" s="412">
        <v>0</v>
      </c>
      <c r="M19" s="351"/>
      <c r="Q19" s="351"/>
    </row>
    <row r="20" spans="2:20" ht="20.100000000000001" customHeight="1" x14ac:dyDescent="0.2">
      <c r="B20" s="318" t="s">
        <v>575</v>
      </c>
      <c r="C20" s="319"/>
      <c r="D20" s="319"/>
      <c r="E20" s="319"/>
      <c r="F20" s="319"/>
      <c r="G20" s="320"/>
      <c r="I20" s="412">
        <v>42513776.200000003</v>
      </c>
      <c r="J20" s="406">
        <v>29201354.079999998</v>
      </c>
      <c r="K20" s="412">
        <v>76540794.060000002</v>
      </c>
      <c r="M20" s="351"/>
      <c r="Q20" s="351"/>
    </row>
    <row r="21" spans="2:20" ht="20.100000000000001" customHeight="1" x14ac:dyDescent="0.2">
      <c r="B21" s="318" t="s">
        <v>576</v>
      </c>
      <c r="C21" s="319"/>
      <c r="D21" s="319"/>
      <c r="E21" s="319"/>
      <c r="F21" s="319"/>
      <c r="G21" s="320"/>
      <c r="I21" s="412">
        <v>0</v>
      </c>
      <c r="J21" s="406"/>
      <c r="K21" s="412">
        <v>0</v>
      </c>
      <c r="L21" s="310">
        <v>0</v>
      </c>
      <c r="M21" s="351"/>
      <c r="Q21" s="351"/>
    </row>
    <row r="22" spans="2:20" ht="29.25" customHeight="1" x14ac:dyDescent="0.2">
      <c r="B22" s="799" t="s">
        <v>604</v>
      </c>
      <c r="C22" s="800"/>
      <c r="D22" s="800"/>
      <c r="E22" s="800"/>
      <c r="F22" s="800"/>
      <c r="G22" s="801"/>
      <c r="I22" s="412">
        <f>9365.47</f>
        <v>9365.4699999999993</v>
      </c>
      <c r="J22" s="406">
        <v>1324.02</v>
      </c>
      <c r="K22" s="412">
        <v>545437.76</v>
      </c>
      <c r="M22" s="351"/>
      <c r="Q22" s="351"/>
    </row>
    <row r="23" spans="2:20" ht="20.100000000000001" customHeight="1" x14ac:dyDescent="0.2">
      <c r="B23" s="318" t="s">
        <v>577</v>
      </c>
      <c r="C23" s="319"/>
      <c r="D23" s="319"/>
      <c r="E23" s="319"/>
      <c r="F23" s="319"/>
      <c r="G23" s="320"/>
      <c r="I23" s="412">
        <v>0</v>
      </c>
      <c r="J23" s="406">
        <v>0</v>
      </c>
      <c r="K23" s="412">
        <v>0</v>
      </c>
      <c r="L23" s="310">
        <v>0</v>
      </c>
      <c r="M23" s="351"/>
      <c r="Q23" s="351"/>
    </row>
    <row r="24" spans="2:20" ht="20.100000000000001" customHeight="1" x14ac:dyDescent="0.2">
      <c r="B24" s="318" t="s">
        <v>578</v>
      </c>
      <c r="C24" s="319"/>
      <c r="D24" s="319"/>
      <c r="E24" s="319"/>
      <c r="F24" s="319"/>
      <c r="G24" s="320"/>
      <c r="I24" s="412">
        <f>210141.91+8396.06</f>
        <v>218537.97</v>
      </c>
      <c r="J24" s="406">
        <v>5902.96</v>
      </c>
      <c r="K24" s="412">
        <v>69040.490000000005</v>
      </c>
      <c r="L24" s="310">
        <v>0</v>
      </c>
      <c r="M24" s="351"/>
      <c r="Q24" s="351"/>
    </row>
    <row r="25" spans="2:20" ht="20.100000000000001" customHeight="1" x14ac:dyDescent="0.2">
      <c r="B25" s="318" t="s">
        <v>579</v>
      </c>
      <c r="C25" s="319"/>
      <c r="D25" s="319"/>
      <c r="E25" s="319"/>
      <c r="F25" s="319"/>
      <c r="G25" s="320"/>
      <c r="I25" s="412">
        <v>0</v>
      </c>
      <c r="J25" s="406">
        <v>0</v>
      </c>
      <c r="K25" s="412">
        <v>0</v>
      </c>
      <c r="L25" s="310">
        <v>0</v>
      </c>
      <c r="M25" s="351"/>
      <c r="Q25" s="351"/>
    </row>
    <row r="26" spans="2:20" ht="20.100000000000001" customHeight="1" x14ac:dyDescent="0.2">
      <c r="B26" s="318" t="s">
        <v>580</v>
      </c>
      <c r="C26" s="319"/>
      <c r="D26" s="319"/>
      <c r="E26" s="319"/>
      <c r="F26" s="319"/>
      <c r="G26" s="320"/>
      <c r="I26" s="412">
        <f>2843342.45+113908.95+2217387.5+18087.95</f>
        <v>5192726.8500000006</v>
      </c>
      <c r="J26" s="406">
        <v>33510.559999999998</v>
      </c>
      <c r="K26" s="412">
        <v>39264382.68</v>
      </c>
      <c r="M26" s="351"/>
      <c r="Q26" s="351"/>
    </row>
    <row r="27" spans="2:20" s="350" customFormat="1" ht="20.100000000000001" customHeight="1" x14ac:dyDescent="0.2">
      <c r="B27" s="373" t="s">
        <v>581</v>
      </c>
      <c r="C27" s="402"/>
      <c r="D27" s="402"/>
      <c r="E27" s="402"/>
      <c r="F27" s="402"/>
      <c r="G27" s="403"/>
      <c r="I27" s="405">
        <f>SUM(I28:I37)</f>
        <v>411731777.78999996</v>
      </c>
      <c r="J27" s="407">
        <f>SUM(J28:J35)</f>
        <v>10975779138.76</v>
      </c>
      <c r="K27" s="737">
        <f>SUM(K28:K37)</f>
        <v>378438496.78999996</v>
      </c>
      <c r="M27" s="351"/>
      <c r="N27" s="428"/>
      <c r="Q27" s="351"/>
      <c r="S27" s="735"/>
      <c r="T27" s="735"/>
    </row>
    <row r="28" spans="2:20" ht="20.100000000000001" customHeight="1" x14ac:dyDescent="0.25">
      <c r="B28" s="318" t="s">
        <v>582</v>
      </c>
      <c r="C28" s="319"/>
      <c r="D28" s="319"/>
      <c r="E28" s="319"/>
      <c r="F28" s="319"/>
      <c r="G28" s="320"/>
      <c r="I28" s="412">
        <v>238313996.53999999</v>
      </c>
      <c r="J28" s="408">
        <v>115800626.38</v>
      </c>
      <c r="K28" s="738">
        <f>175702439.82+4199.04-32317096.67</f>
        <v>143389542.19</v>
      </c>
      <c r="M28" s="351"/>
      <c r="N28" s="472"/>
      <c r="Q28" s="351"/>
      <c r="S28" s="437"/>
      <c r="T28" s="437"/>
    </row>
    <row r="29" spans="2:20" ht="20.100000000000001" customHeight="1" x14ac:dyDescent="0.2">
      <c r="B29" s="318" t="s">
        <v>583</v>
      </c>
      <c r="C29" s="319"/>
      <c r="D29" s="319"/>
      <c r="G29" s="315"/>
      <c r="I29" s="471">
        <v>23404612.800000001</v>
      </c>
      <c r="J29" s="406">
        <v>0</v>
      </c>
      <c r="K29" s="739">
        <v>22847977.93</v>
      </c>
      <c r="M29" s="453"/>
      <c r="Q29" s="351"/>
    </row>
    <row r="30" spans="2:20" ht="20.100000000000001" hidden="1" customHeight="1" x14ac:dyDescent="0.2">
      <c r="B30" s="317"/>
      <c r="E30" s="319"/>
      <c r="F30" s="319"/>
      <c r="G30" s="320"/>
      <c r="I30" s="412">
        <v>0</v>
      </c>
      <c r="J30" s="406">
        <v>0</v>
      </c>
      <c r="K30" s="738">
        <v>0</v>
      </c>
      <c r="M30" s="351"/>
      <c r="Q30" s="351"/>
    </row>
    <row r="31" spans="2:20" ht="20.100000000000001" customHeight="1" x14ac:dyDescent="0.2">
      <c r="B31" s="370" t="s">
        <v>584</v>
      </c>
      <c r="C31" s="409"/>
      <c r="D31" s="409"/>
      <c r="E31" s="409"/>
      <c r="F31" s="409"/>
      <c r="G31" s="410"/>
      <c r="I31" s="412">
        <v>0</v>
      </c>
      <c r="J31" s="406">
        <v>100580053.5</v>
      </c>
      <c r="K31" s="738">
        <v>0</v>
      </c>
      <c r="L31" s="310">
        <v>0</v>
      </c>
      <c r="M31" s="351"/>
      <c r="Q31" s="351"/>
    </row>
    <row r="32" spans="2:20" ht="20.100000000000001" customHeight="1" x14ac:dyDescent="0.2">
      <c r="B32" s="318" t="s">
        <v>585</v>
      </c>
      <c r="C32" s="319"/>
      <c r="D32" s="319"/>
      <c r="E32" s="319"/>
      <c r="F32" s="319"/>
      <c r="G32" s="320"/>
      <c r="I32" s="412">
        <f>117913965.06-445</f>
        <v>117913520.06</v>
      </c>
      <c r="J32" s="406"/>
      <c r="K32" s="738">
        <f>172725686.16</f>
        <v>172725686.16</v>
      </c>
      <c r="M32" s="351"/>
      <c r="Q32" s="351"/>
    </row>
    <row r="33" spans="2:22" ht="20.100000000000001" customHeight="1" x14ac:dyDescent="0.2">
      <c r="B33" s="318" t="s">
        <v>586</v>
      </c>
      <c r="C33" s="319"/>
      <c r="D33" s="319"/>
      <c r="E33" s="319"/>
      <c r="F33" s="319"/>
      <c r="G33" s="320"/>
      <c r="I33" s="412">
        <v>0</v>
      </c>
      <c r="J33" s="406">
        <v>13672806.65</v>
      </c>
      <c r="K33" s="738">
        <v>0</v>
      </c>
      <c r="L33" s="310">
        <v>0</v>
      </c>
      <c r="M33" s="351"/>
      <c r="Q33" s="351"/>
      <c r="V33" s="735"/>
    </row>
    <row r="34" spans="2:22" ht="27.95" customHeight="1" x14ac:dyDescent="0.2">
      <c r="B34" s="799" t="s">
        <v>587</v>
      </c>
      <c r="C34" s="800"/>
      <c r="D34" s="800"/>
      <c r="E34" s="800"/>
      <c r="F34" s="800"/>
      <c r="G34" s="801"/>
      <c r="I34" s="412"/>
      <c r="J34" s="406">
        <v>0</v>
      </c>
      <c r="K34" s="738">
        <v>26290327.390000001</v>
      </c>
      <c r="M34" s="351"/>
      <c r="Q34" s="351"/>
    </row>
    <row r="35" spans="2:22" ht="33" customHeight="1" x14ac:dyDescent="0.2">
      <c r="B35" s="318" t="s">
        <v>588</v>
      </c>
      <c r="C35" s="319"/>
      <c r="D35" s="319"/>
      <c r="E35" s="319"/>
      <c r="F35" s="319"/>
      <c r="G35" s="320"/>
      <c r="I35" s="412">
        <v>0</v>
      </c>
      <c r="J35" s="406">
        <v>10745725652.23</v>
      </c>
      <c r="K35" s="738">
        <v>0</v>
      </c>
      <c r="M35" s="351"/>
      <c r="Q35" s="351"/>
      <c r="V35" s="735"/>
    </row>
    <row r="36" spans="2:22" ht="20.100000000000001" customHeight="1" x14ac:dyDescent="0.2">
      <c r="B36" s="318" t="s">
        <v>589</v>
      </c>
      <c r="C36" s="319"/>
      <c r="D36" s="319"/>
      <c r="E36" s="319"/>
      <c r="F36" s="319"/>
      <c r="G36" s="320"/>
      <c r="I36" s="412">
        <v>0</v>
      </c>
      <c r="J36" s="411">
        <f>J15+J16-J27</f>
        <v>444208215.19000053</v>
      </c>
      <c r="K36" s="738">
        <v>0</v>
      </c>
      <c r="L36" s="310">
        <v>0</v>
      </c>
      <c r="M36" s="351"/>
      <c r="Q36" s="351"/>
    </row>
    <row r="37" spans="2:22" ht="20.100000000000001" customHeight="1" x14ac:dyDescent="0.2">
      <c r="B37" s="318" t="s">
        <v>590</v>
      </c>
      <c r="C37" s="319"/>
      <c r="D37" s="319"/>
      <c r="E37" s="319"/>
      <c r="F37" s="319"/>
      <c r="G37" s="320"/>
      <c r="I37" s="471">
        <f>805354.44+13774581.55+15626697.45+1277651.13+476050+85895.07+53418.75</f>
        <v>32099648.389999997</v>
      </c>
      <c r="J37" s="411">
        <f>J38+J39</f>
        <v>-136435988.50999999</v>
      </c>
      <c r="K37" s="738">
        <f>1696076.72+11448886.4+40000</f>
        <v>13184963.120000001</v>
      </c>
      <c r="L37" s="310">
        <v>0</v>
      </c>
      <c r="M37" s="351"/>
      <c r="Q37" s="351"/>
    </row>
    <row r="38" spans="2:22" ht="20.100000000000001" customHeight="1" x14ac:dyDescent="0.25">
      <c r="B38" s="373" t="s">
        <v>591</v>
      </c>
      <c r="C38" s="402"/>
      <c r="D38" s="402"/>
      <c r="E38" s="402"/>
      <c r="F38" s="402"/>
      <c r="G38" s="403"/>
      <c r="H38" s="350"/>
      <c r="I38" s="405">
        <f>I15+I16-I27</f>
        <v>912443996.67000008</v>
      </c>
      <c r="J38" s="406">
        <v>0</v>
      </c>
      <c r="K38" s="405">
        <f>K15+K16-K27</f>
        <v>920084785.41000009</v>
      </c>
      <c r="M38" s="453"/>
      <c r="O38" s="472"/>
      <c r="P38" s="351"/>
      <c r="Q38" s="351"/>
    </row>
    <row r="39" spans="2:22" s="350" customFormat="1" ht="20.100000000000001" customHeight="1" x14ac:dyDescent="0.2">
      <c r="B39" s="373" t="s">
        <v>592</v>
      </c>
      <c r="C39" s="402"/>
      <c r="D39" s="402"/>
      <c r="E39" s="402"/>
      <c r="F39" s="402"/>
      <c r="G39" s="403"/>
      <c r="I39" s="405">
        <f>I40+I41</f>
        <v>-143389542.19000003</v>
      </c>
      <c r="J39" s="355">
        <v>-136435988.50999999</v>
      </c>
      <c r="K39" s="405">
        <f>K40+K41</f>
        <v>-85182857.450000003</v>
      </c>
      <c r="M39" s="351"/>
      <c r="N39" s="428"/>
      <c r="Q39" s="351"/>
      <c r="S39" s="735"/>
      <c r="T39" s="735"/>
    </row>
    <row r="40" spans="2:22" s="350" customFormat="1" ht="20.100000000000001" customHeight="1" x14ac:dyDescent="0.2">
      <c r="B40" s="318" t="s">
        <v>593</v>
      </c>
      <c r="C40" s="319"/>
      <c r="D40" s="319"/>
      <c r="E40" s="319"/>
      <c r="F40" s="319"/>
      <c r="G40" s="320"/>
      <c r="H40" s="310"/>
      <c r="I40" s="412">
        <v>0</v>
      </c>
      <c r="J40" s="406">
        <v>0</v>
      </c>
      <c r="K40" s="412">
        <v>0</v>
      </c>
      <c r="M40" s="351"/>
      <c r="N40" s="428"/>
      <c r="O40" s="310"/>
      <c r="P40" s="310"/>
      <c r="Q40" s="351"/>
      <c r="S40" s="437"/>
      <c r="T40" s="437"/>
    </row>
    <row r="41" spans="2:22" ht="20.100000000000001" customHeight="1" x14ac:dyDescent="0.2">
      <c r="B41" s="318" t="s">
        <v>594</v>
      </c>
      <c r="C41" s="319"/>
      <c r="D41" s="319"/>
      <c r="E41" s="319"/>
      <c r="F41" s="319"/>
      <c r="G41" s="320"/>
      <c r="I41" s="412">
        <f>RZiS!I54</f>
        <v>-143389542.19000003</v>
      </c>
      <c r="J41" s="407">
        <f>J36+J38-J39</f>
        <v>580644203.70000052</v>
      </c>
      <c r="K41" s="412">
        <f>RZiS!K54</f>
        <v>-85182857.450000003</v>
      </c>
      <c r="L41" s="310">
        <v>0</v>
      </c>
      <c r="M41" s="351"/>
      <c r="Q41" s="351"/>
      <c r="S41" s="437"/>
      <c r="T41" s="437"/>
    </row>
    <row r="42" spans="2:22" ht="20.100000000000001" customHeight="1" thickBot="1" x14ac:dyDescent="0.25">
      <c r="B42" s="802" t="s">
        <v>595</v>
      </c>
      <c r="C42" s="803"/>
      <c r="D42" s="803"/>
      <c r="E42" s="803"/>
      <c r="F42" s="803"/>
      <c r="G42" s="804"/>
      <c r="H42" s="413"/>
      <c r="I42" s="412">
        <v>0</v>
      </c>
      <c r="J42" s="371"/>
      <c r="K42" s="412">
        <v>0</v>
      </c>
      <c r="M42" s="351"/>
      <c r="O42" s="350"/>
      <c r="P42" s="350"/>
      <c r="Q42" s="351"/>
    </row>
    <row r="43" spans="2:22" ht="20.100000000000001" customHeight="1" thickBot="1" x14ac:dyDescent="0.25">
      <c r="B43" s="383" t="s">
        <v>596</v>
      </c>
      <c r="C43" s="415"/>
      <c r="D43" s="415"/>
      <c r="E43" s="415"/>
      <c r="F43" s="415"/>
      <c r="G43" s="415"/>
      <c r="H43" s="415"/>
      <c r="I43" s="417">
        <f>I38+I39-I42</f>
        <v>769054454.48000002</v>
      </c>
      <c r="J43" s="416">
        <v>0</v>
      </c>
      <c r="K43" s="417">
        <f>K38+K39-K42</f>
        <v>834901927.96000004</v>
      </c>
      <c r="M43" s="351"/>
      <c r="O43" s="350"/>
      <c r="P43" s="350"/>
      <c r="Q43" s="351"/>
    </row>
    <row r="44" spans="2:22" s="350" customFormat="1" ht="20.100000000000001" customHeight="1" x14ac:dyDescent="0.2">
      <c r="I44" s="418"/>
      <c r="K44" s="351"/>
      <c r="L44" s="350">
        <v>0</v>
      </c>
      <c r="M44" s="351"/>
      <c r="N44" s="428"/>
      <c r="Q44" s="351"/>
      <c r="S44" s="735"/>
      <c r="T44" s="735"/>
    </row>
    <row r="45" spans="2:22" s="350" customFormat="1" ht="7.5" customHeight="1" x14ac:dyDescent="0.2">
      <c r="B45" s="389"/>
      <c r="E45" s="351"/>
      <c r="F45" s="419"/>
      <c r="G45" s="310"/>
      <c r="H45" s="310"/>
      <c r="I45" s="310"/>
      <c r="J45" s="310"/>
      <c r="K45" s="310"/>
      <c r="N45" s="428"/>
      <c r="O45" s="310"/>
      <c r="P45" s="310"/>
      <c r="Q45" s="356"/>
      <c r="S45" s="437"/>
      <c r="T45" s="437"/>
    </row>
    <row r="46" spans="2:22" hidden="1" x14ac:dyDescent="0.2">
      <c r="B46" s="310" t="s">
        <v>597</v>
      </c>
      <c r="S46" s="437"/>
      <c r="T46" s="437"/>
    </row>
    <row r="47" spans="2:22" hidden="1" x14ac:dyDescent="0.2"/>
    <row r="48" spans="2:22" hidden="1" x14ac:dyDescent="0.2">
      <c r="B48" s="319" t="s">
        <v>598</v>
      </c>
      <c r="C48" s="319"/>
      <c r="D48" s="319"/>
      <c r="E48" s="319"/>
      <c r="F48" s="319"/>
      <c r="G48" s="319"/>
      <c r="H48" s="319"/>
      <c r="I48" s="319"/>
      <c r="J48" s="319"/>
      <c r="K48" s="319"/>
    </row>
    <row r="49" spans="2:13" hidden="1" x14ac:dyDescent="0.2">
      <c r="B49" s="319" t="s">
        <v>125</v>
      </c>
      <c r="C49" s="319"/>
      <c r="D49" s="319"/>
      <c r="E49" s="319"/>
      <c r="F49" s="319"/>
      <c r="G49" s="319"/>
      <c r="H49" s="319"/>
      <c r="I49" s="319"/>
      <c r="J49" s="319"/>
      <c r="K49" s="319"/>
    </row>
    <row r="50" spans="2:13" hidden="1" x14ac:dyDescent="0.2">
      <c r="B50" s="409" t="s">
        <v>126</v>
      </c>
      <c r="C50" s="409"/>
      <c r="D50" s="409"/>
      <c r="E50" s="409"/>
      <c r="F50" s="409"/>
      <c r="G50" s="409"/>
      <c r="H50" s="409"/>
      <c r="I50" s="409"/>
      <c r="J50" s="409"/>
      <c r="K50" s="409"/>
    </row>
    <row r="51" spans="2:13" hidden="1" x14ac:dyDescent="0.2">
      <c r="B51" s="409" t="s">
        <v>127</v>
      </c>
      <c r="C51" s="409"/>
      <c r="D51" s="409"/>
      <c r="E51" s="409"/>
      <c r="F51" s="409"/>
      <c r="G51" s="409"/>
      <c r="H51" s="409"/>
      <c r="I51" s="409"/>
      <c r="J51" s="409"/>
      <c r="K51" s="409"/>
    </row>
    <row r="52" spans="2:13" hidden="1" x14ac:dyDescent="0.2">
      <c r="B52" s="409" t="s">
        <v>129</v>
      </c>
      <c r="C52" s="409"/>
      <c r="D52" s="409"/>
      <c r="E52" s="409"/>
      <c r="F52" s="409"/>
      <c r="G52" s="409"/>
      <c r="H52" s="409"/>
      <c r="I52" s="409"/>
      <c r="J52" s="409"/>
      <c r="K52" s="409"/>
    </row>
    <row r="53" spans="2:13" hidden="1" x14ac:dyDescent="0.2"/>
    <row r="54" spans="2:13" hidden="1" x14ac:dyDescent="0.2"/>
    <row r="56" spans="2:13" ht="33.75" customHeight="1" x14ac:dyDescent="0.2">
      <c r="B56" s="420"/>
      <c r="C56" s="356"/>
      <c r="D56" s="356"/>
      <c r="E56" s="356"/>
      <c r="F56" s="356"/>
      <c r="G56" s="356"/>
      <c r="H56" s="356"/>
      <c r="I56" s="356"/>
      <c r="J56" s="356"/>
      <c r="K56" s="356"/>
      <c r="M56" s="736"/>
    </row>
    <row r="57" spans="2:13" x14ac:dyDescent="0.2">
      <c r="B57" s="356"/>
      <c r="C57" s="805"/>
      <c r="D57" s="805"/>
      <c r="E57" s="356"/>
      <c r="F57" s="356"/>
      <c r="G57" s="356"/>
      <c r="H57" s="356"/>
      <c r="I57" s="356"/>
      <c r="J57" s="356"/>
      <c r="K57" s="356"/>
    </row>
    <row r="58" spans="2:13" x14ac:dyDescent="0.2">
      <c r="B58" s="356"/>
      <c r="C58" s="797"/>
      <c r="D58" s="797"/>
      <c r="E58" s="797"/>
      <c r="F58" s="356"/>
      <c r="G58" s="797"/>
      <c r="H58" s="797"/>
      <c r="I58" s="797"/>
      <c r="J58" s="356"/>
      <c r="K58" s="356"/>
    </row>
    <row r="59" spans="2:13" x14ac:dyDescent="0.2">
      <c r="B59" s="806"/>
      <c r="C59" s="806"/>
      <c r="D59" s="806"/>
      <c r="E59" s="797"/>
      <c r="F59" s="797"/>
      <c r="G59" s="797"/>
      <c r="H59" s="797"/>
      <c r="I59" s="797"/>
      <c r="J59" s="356"/>
      <c r="K59" s="356"/>
    </row>
    <row r="60" spans="2:13" x14ac:dyDescent="0.2">
      <c r="B60" s="797"/>
      <c r="C60" s="797"/>
      <c r="D60" s="797"/>
      <c r="E60" s="356"/>
      <c r="F60" s="356"/>
      <c r="G60" s="356"/>
      <c r="H60" s="356"/>
      <c r="I60" s="421"/>
      <c r="J60" s="421"/>
      <c r="K60" s="356"/>
    </row>
    <row r="61" spans="2:13" x14ac:dyDescent="0.2">
      <c r="B61" s="356"/>
      <c r="C61" s="356"/>
      <c r="D61" s="356"/>
      <c r="E61" s="798"/>
      <c r="F61" s="798"/>
      <c r="G61" s="356"/>
      <c r="H61" s="356"/>
      <c r="I61" s="356"/>
      <c r="J61" s="356"/>
      <c r="K61" s="356"/>
    </row>
    <row r="62" spans="2:13" x14ac:dyDescent="0.2">
      <c r="B62" s="356"/>
      <c r="C62" s="356"/>
      <c r="D62" s="356"/>
      <c r="E62" s="356"/>
      <c r="F62" s="356"/>
      <c r="G62" s="356"/>
      <c r="H62" s="356"/>
      <c r="I62" s="356"/>
      <c r="J62" s="356"/>
      <c r="K62" s="422"/>
    </row>
    <row r="64" spans="2:13" x14ac:dyDescent="0.2">
      <c r="F64" s="356"/>
      <c r="K64" s="356"/>
      <c r="M64" s="736"/>
    </row>
    <row r="65" spans="9:9" x14ac:dyDescent="0.2">
      <c r="I65" s="356"/>
    </row>
  </sheetData>
  <mergeCells count="16">
    <mergeCell ref="B22:G22"/>
    <mergeCell ref="B2:D2"/>
    <mergeCell ref="E5:I5"/>
    <mergeCell ref="E6:I6"/>
    <mergeCell ref="E8:I8"/>
    <mergeCell ref="B19:G19"/>
    <mergeCell ref="B60:D60"/>
    <mergeCell ref="E61:F61"/>
    <mergeCell ref="B34:G34"/>
    <mergeCell ref="B42:G42"/>
    <mergeCell ref="C57:D57"/>
    <mergeCell ref="C58:E58"/>
    <mergeCell ref="G58:I58"/>
    <mergeCell ref="B59:D59"/>
    <mergeCell ref="E59:F59"/>
    <mergeCell ref="G59:I59"/>
  </mergeCells>
  <printOptions horizontalCentered="1"/>
  <pageMargins left="0.51181102362204722" right="0.27559055118110237" top="0.31496062992125984" bottom="0.27559055118110237" header="0.19685039370078741" footer="0.1968503937007874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Q693"/>
  <sheetViews>
    <sheetView tabSelected="1" view="pageLayout" zoomScale="90" zoomScaleNormal="100" zoomScalePageLayoutView="90" workbookViewId="0">
      <selection activeCell="I13" sqref="I13"/>
    </sheetView>
  </sheetViews>
  <sheetFormatPr defaultColWidth="9.140625" defaultRowHeight="12.75" x14ac:dyDescent="0.2"/>
  <cols>
    <col min="1" max="1" width="22.85546875" style="84" customWidth="1"/>
    <col min="2" max="2" width="19.140625" style="84" customWidth="1"/>
    <col min="3" max="3" width="20" style="84" customWidth="1"/>
    <col min="4" max="4" width="18" style="84" customWidth="1"/>
    <col min="5" max="5" width="19.7109375" style="84" customWidth="1"/>
    <col min="6" max="6" width="16.140625" style="5" customWidth="1"/>
    <col min="7" max="7" width="16.42578125" style="5" customWidth="1"/>
    <col min="8" max="8" width="15.85546875" style="5" customWidth="1"/>
    <col min="9" max="9" width="16.140625" style="5" customWidth="1"/>
    <col min="10" max="10" width="14.42578125" style="5" bestFit="1" customWidth="1"/>
    <col min="11" max="11" width="18.28515625" style="5" customWidth="1"/>
    <col min="12" max="12" width="21.7109375" style="5" bestFit="1" customWidth="1"/>
    <col min="13" max="13" width="51.42578125" style="5" bestFit="1" customWidth="1"/>
    <col min="14" max="14" width="19.28515625" style="5" customWidth="1"/>
    <col min="15" max="15" width="22.140625" style="5" customWidth="1"/>
    <col min="16" max="16" width="18.28515625" style="5" customWidth="1"/>
    <col min="17" max="17" width="19.7109375" style="5" customWidth="1"/>
    <col min="18" max="16384" width="9.140625" style="5"/>
  </cols>
  <sheetData>
    <row r="2" spans="1:10" s="1" customFormat="1" x14ac:dyDescent="0.2">
      <c r="A2" s="2"/>
      <c r="D2" s="2"/>
      <c r="E2" s="3"/>
      <c r="F2" s="3" t="s">
        <v>392</v>
      </c>
      <c r="G2" s="3"/>
      <c r="H2" s="3"/>
      <c r="I2" s="3"/>
    </row>
    <row r="3" spans="1:10" s="1" customFormat="1" ht="40.5" customHeight="1" x14ac:dyDescent="0.2">
      <c r="B3" s="4"/>
      <c r="C3" s="4"/>
      <c r="D3" s="486"/>
      <c r="E3" s="486"/>
      <c r="F3" s="1108" t="s">
        <v>273</v>
      </c>
      <c r="G3" s="1109"/>
      <c r="H3" s="1109"/>
      <c r="I3" s="1109"/>
      <c r="J3" s="1109"/>
    </row>
    <row r="4" spans="1:10" ht="15" customHeight="1" x14ac:dyDescent="0.25">
      <c r="A4" s="165"/>
      <c r="B4" s="166"/>
      <c r="C4" s="166"/>
      <c r="D4" s="992"/>
      <c r="E4" s="992"/>
      <c r="F4" s="167"/>
      <c r="G4" s="167"/>
      <c r="H4" s="167"/>
      <c r="I4" s="167"/>
    </row>
    <row r="5" spans="1:10" ht="14.25" x14ac:dyDescent="0.2">
      <c r="A5" s="1020" t="s">
        <v>620</v>
      </c>
      <c r="B5" s="1020"/>
      <c r="C5" s="1020"/>
      <c r="D5" s="1020"/>
      <c r="E5" s="1020"/>
      <c r="F5" s="1020"/>
      <c r="G5" s="1020"/>
      <c r="H5" s="1020"/>
      <c r="I5" s="1020"/>
    </row>
    <row r="6" spans="1:10" ht="15" customHeight="1" thickBot="1" x14ac:dyDescent="0.25">
      <c r="A6" s="993"/>
      <c r="B6" s="994"/>
      <c r="C6" s="994"/>
      <c r="D6" s="994"/>
      <c r="E6" s="994"/>
      <c r="F6" s="994"/>
      <c r="G6" s="994"/>
      <c r="H6" s="993"/>
      <c r="I6" s="993"/>
    </row>
    <row r="7" spans="1:10" ht="13.9" customHeight="1" thickBot="1" x14ac:dyDescent="0.25">
      <c r="A7" s="487"/>
      <c r="B7" s="1007" t="s">
        <v>32</v>
      </c>
      <c r="C7" s="1008"/>
      <c r="D7" s="1008"/>
      <c r="E7" s="1008"/>
      <c r="F7" s="1008"/>
      <c r="G7" s="1009"/>
      <c r="H7" s="168"/>
      <c r="I7" s="168"/>
    </row>
    <row r="8" spans="1:10" ht="81.75" customHeight="1" x14ac:dyDescent="0.2">
      <c r="A8" s="1010" t="s">
        <v>130</v>
      </c>
      <c r="B8" s="1012" t="s">
        <v>24</v>
      </c>
      <c r="C8" s="1014" t="s">
        <v>275</v>
      </c>
      <c r="D8" s="1012" t="s">
        <v>272</v>
      </c>
      <c r="E8" s="1016" t="s">
        <v>148</v>
      </c>
      <c r="F8" s="1018" t="s">
        <v>149</v>
      </c>
      <c r="G8" s="1018" t="s">
        <v>150</v>
      </c>
      <c r="H8" s="1018" t="s">
        <v>135</v>
      </c>
      <c r="I8" s="1021" t="s">
        <v>108</v>
      </c>
    </row>
    <row r="9" spans="1:10" s="6" customFormat="1" ht="12.75" customHeight="1" x14ac:dyDescent="0.2">
      <c r="A9" s="1011"/>
      <c r="B9" s="1013"/>
      <c r="C9" s="1015"/>
      <c r="D9" s="1013"/>
      <c r="E9" s="1017"/>
      <c r="F9" s="1019"/>
      <c r="G9" s="1019"/>
      <c r="H9" s="1019"/>
      <c r="I9" s="1022"/>
    </row>
    <row r="10" spans="1:10" s="6" customFormat="1" x14ac:dyDescent="0.2">
      <c r="A10" s="1023" t="s">
        <v>34</v>
      </c>
      <c r="B10" s="1024"/>
      <c r="C10" s="1024"/>
      <c r="D10" s="1024"/>
      <c r="E10" s="1025"/>
      <c r="F10" s="1025"/>
      <c r="G10" s="1025"/>
      <c r="H10" s="1025"/>
      <c r="I10" s="1026"/>
    </row>
    <row r="11" spans="1:10" x14ac:dyDescent="0.2">
      <c r="A11" s="697" t="s">
        <v>437</v>
      </c>
      <c r="B11" s="698">
        <f>441000956.03+20579794.9+8742420.88</f>
        <v>470323171.80999994</v>
      </c>
      <c r="C11" s="698">
        <v>8742420.8800000008</v>
      </c>
      <c r="D11" s="698">
        <f>105682606.49+207335510.51</f>
        <v>313018117</v>
      </c>
      <c r="E11" s="698">
        <v>11161732.25</v>
      </c>
      <c r="F11" s="699">
        <v>416888.21</v>
      </c>
      <c r="G11" s="699">
        <v>13102684.59</v>
      </c>
      <c r="H11" s="699">
        <v>90202595.959999993</v>
      </c>
      <c r="I11" s="700">
        <f>B11+G11+F11+E11+D11+H11</f>
        <v>898225189.81999993</v>
      </c>
    </row>
    <row r="12" spans="1:10" x14ac:dyDescent="0.2">
      <c r="A12" s="697" t="s">
        <v>35</v>
      </c>
      <c r="B12" s="698">
        <v>32365583.84</v>
      </c>
      <c r="C12" s="698"/>
      <c r="D12" s="698">
        <f>SUM(D13:D15)</f>
        <v>4853627.4400000004</v>
      </c>
      <c r="E12" s="698">
        <f t="shared" ref="E12:I12" si="0">SUM(E13:E15)</f>
        <v>0</v>
      </c>
      <c r="F12" s="699">
        <f t="shared" si="0"/>
        <v>156900</v>
      </c>
      <c r="G12" s="699">
        <f t="shared" si="0"/>
        <v>537090.11</v>
      </c>
      <c r="H12" s="699">
        <f>SUM(H13:H15)</f>
        <v>76894950.359999999</v>
      </c>
      <c r="I12" s="700">
        <f t="shared" si="0"/>
        <v>114808151.75</v>
      </c>
    </row>
    <row r="13" spans="1:10" x14ac:dyDescent="0.2">
      <c r="A13" s="701" t="s">
        <v>36</v>
      </c>
      <c r="B13" s="702">
        <v>0</v>
      </c>
      <c r="C13" s="703"/>
      <c r="D13" s="703">
        <f>3867910.99+723152.99</f>
        <v>4591063.9800000004</v>
      </c>
      <c r="E13" s="703"/>
      <c r="F13" s="704">
        <v>156900</v>
      </c>
      <c r="G13" s="705">
        <f>63973.17+175374.33+297742.61-33896.17</f>
        <v>503193.94</v>
      </c>
      <c r="H13" s="705"/>
      <c r="I13" s="706">
        <f>B13+SUM(D13:H13)</f>
        <v>5251157.9200000009</v>
      </c>
    </row>
    <row r="14" spans="1:10" x14ac:dyDescent="0.2">
      <c r="A14" s="701" t="s">
        <v>37</v>
      </c>
      <c r="B14" s="702">
        <v>32365583.84</v>
      </c>
      <c r="C14" s="702"/>
      <c r="D14" s="702">
        <f>262563.46</f>
        <v>262563.46000000002</v>
      </c>
      <c r="E14" s="702"/>
      <c r="F14" s="704"/>
      <c r="G14" s="705">
        <v>33896.17</v>
      </c>
      <c r="H14" s="705">
        <f>76833112.56+61837.8</f>
        <v>76894950.359999999</v>
      </c>
      <c r="I14" s="706">
        <f>B14+SUM(D14:H14)</f>
        <v>109556993.83</v>
      </c>
    </row>
    <row r="15" spans="1:10" x14ac:dyDescent="0.2">
      <c r="A15" s="701" t="s">
        <v>365</v>
      </c>
      <c r="B15" s="702"/>
      <c r="C15" s="703"/>
      <c r="D15" s="702"/>
      <c r="E15" s="702"/>
      <c r="F15" s="705"/>
      <c r="G15" s="705"/>
      <c r="H15" s="705"/>
      <c r="I15" s="706">
        <f>B15+SUM(D15:H15)</f>
        <v>0</v>
      </c>
    </row>
    <row r="16" spans="1:10" x14ac:dyDescent="0.2">
      <c r="A16" s="697" t="s">
        <v>38</v>
      </c>
      <c r="B16" s="698">
        <f t="shared" ref="B16:G16" si="1">SUM(B17:B18)</f>
        <v>1607220.3900000001</v>
      </c>
      <c r="C16" s="698">
        <f>SUM(C18:C18)</f>
        <v>179322.28</v>
      </c>
      <c r="D16" s="698">
        <f t="shared" si="1"/>
        <v>2361840</v>
      </c>
      <c r="E16" s="698">
        <f t="shared" si="1"/>
        <v>314121.05</v>
      </c>
      <c r="F16" s="699">
        <f t="shared" si="1"/>
        <v>97999</v>
      </c>
      <c r="G16" s="699">
        <f t="shared" si="1"/>
        <v>920450.94000000006</v>
      </c>
      <c r="H16" s="699">
        <f>SUM(H17:H18)</f>
        <v>23541992.399999999</v>
      </c>
      <c r="I16" s="700">
        <f>SUM(I17:I18)</f>
        <v>28843623.780000001</v>
      </c>
    </row>
    <row r="17" spans="1:9" x14ac:dyDescent="0.2">
      <c r="A17" s="701" t="s">
        <v>39</v>
      </c>
      <c r="B17" s="698">
        <v>200912.6</v>
      </c>
      <c r="D17" s="703"/>
      <c r="E17" s="702">
        <f>252606.21+61514.84</f>
        <v>314121.05</v>
      </c>
      <c r="F17" s="705">
        <v>97999</v>
      </c>
      <c r="G17" s="705">
        <f>766047.67+98274.79+19915.74</f>
        <v>884238.20000000007</v>
      </c>
      <c r="H17" s="704">
        <v>23541992.399999999</v>
      </c>
      <c r="I17" s="706">
        <f>B17+SUM(D17:H17)</f>
        <v>25039263.25</v>
      </c>
    </row>
    <row r="18" spans="1:9" x14ac:dyDescent="0.2">
      <c r="A18" s="701" t="s">
        <v>37</v>
      </c>
      <c r="B18" s="698">
        <v>1406307.79</v>
      </c>
      <c r="C18" s="703">
        <f>179322.28</f>
        <v>179322.28</v>
      </c>
      <c r="D18" s="702">
        <v>2361840</v>
      </c>
      <c r="F18" s="704"/>
      <c r="G18" s="705">
        <v>36212.74</v>
      </c>
      <c r="H18" s="705"/>
      <c r="I18" s="706">
        <f>B18+SUM(D18:H18)</f>
        <v>3804360.5300000003</v>
      </c>
    </row>
    <row r="19" spans="1:9" x14ac:dyDescent="0.2">
      <c r="A19" s="697" t="s">
        <v>438</v>
      </c>
      <c r="B19" s="698">
        <f t="shared" ref="B19:I19" si="2">B11+B12-B16</f>
        <v>501081535.25999993</v>
      </c>
      <c r="C19" s="698">
        <f t="shared" si="2"/>
        <v>8563098.6000000015</v>
      </c>
      <c r="D19" s="698">
        <f>D11+D12-D16</f>
        <v>315509904.44</v>
      </c>
      <c r="E19" s="698">
        <f t="shared" si="2"/>
        <v>10847611.199999999</v>
      </c>
      <c r="F19" s="699">
        <f t="shared" si="2"/>
        <v>475789.20999999996</v>
      </c>
      <c r="G19" s="699">
        <f t="shared" si="2"/>
        <v>12719323.76</v>
      </c>
      <c r="H19" s="699">
        <f>H11+H12-H16</f>
        <v>143555553.91999999</v>
      </c>
      <c r="I19" s="700">
        <f t="shared" si="2"/>
        <v>984189717.78999996</v>
      </c>
    </row>
    <row r="20" spans="1:9" x14ac:dyDescent="0.2">
      <c r="A20" s="1023" t="s">
        <v>269</v>
      </c>
      <c r="B20" s="1025"/>
      <c r="C20" s="1025"/>
      <c r="D20" s="1025"/>
      <c r="E20" s="1025"/>
      <c r="F20" s="1025"/>
      <c r="G20" s="1025"/>
      <c r="H20" s="1025"/>
      <c r="I20" s="1026"/>
    </row>
    <row r="21" spans="1:9" x14ac:dyDescent="0.2">
      <c r="A21" s="697" t="s">
        <v>439</v>
      </c>
      <c r="B21" s="698">
        <f>6167679.94</f>
        <v>6167679.9400000004</v>
      </c>
      <c r="C21" s="698"/>
      <c r="D21" s="698">
        <f>35638756.39+137352779.42</f>
        <v>172991535.81</v>
      </c>
      <c r="E21" s="698">
        <v>8493711.5099999998</v>
      </c>
      <c r="F21" s="699">
        <v>416888.21</v>
      </c>
      <c r="G21" s="699">
        <v>12808285.65</v>
      </c>
      <c r="H21" s="699"/>
      <c r="I21" s="700">
        <f>B21+D21+E21+F21+G21</f>
        <v>200878101.12</v>
      </c>
    </row>
    <row r="22" spans="1:9" x14ac:dyDescent="0.2">
      <c r="A22" s="697" t="s">
        <v>35</v>
      </c>
      <c r="B22" s="698">
        <f>SUM(B23:B25)</f>
        <v>514494.88</v>
      </c>
      <c r="C22" s="698">
        <f t="shared" ref="C22:I22" si="3">SUM(C23:C25)</f>
        <v>0</v>
      </c>
      <c r="D22" s="698">
        <f t="shared" si="3"/>
        <v>10183969.379999999</v>
      </c>
      <c r="E22" s="698">
        <f t="shared" si="3"/>
        <v>519157.32</v>
      </c>
      <c r="F22" s="699">
        <f t="shared" si="3"/>
        <v>5230</v>
      </c>
      <c r="G22" s="699">
        <f t="shared" si="3"/>
        <v>603237.55000000005</v>
      </c>
      <c r="H22" s="699"/>
      <c r="I22" s="700">
        <f t="shared" si="3"/>
        <v>11826089.129999999</v>
      </c>
    </row>
    <row r="23" spans="1:9" x14ac:dyDescent="0.2">
      <c r="A23" s="701" t="s">
        <v>44</v>
      </c>
      <c r="B23" s="707">
        <v>514494.88</v>
      </c>
      <c r="C23" s="707"/>
      <c r="D23" s="702">
        <f>2410375.11+7773594.27</f>
        <v>10183969.379999999</v>
      </c>
      <c r="E23" s="707">
        <f>72905.17+446252.15</f>
        <v>519157.32</v>
      </c>
      <c r="F23" s="707">
        <v>5230</v>
      </c>
      <c r="G23" s="707">
        <v>66147.44</v>
      </c>
      <c r="H23" s="704"/>
      <c r="I23" s="706">
        <f>B23+SUM(D23:H23)</f>
        <v>11288999.02</v>
      </c>
    </row>
    <row r="24" spans="1:9" x14ac:dyDescent="0.2">
      <c r="A24" s="701" t="s">
        <v>37</v>
      </c>
      <c r="B24" s="707"/>
      <c r="C24" s="707"/>
      <c r="D24" s="768"/>
      <c r="E24" s="707"/>
      <c r="F24" s="707"/>
      <c r="G24" s="769">
        <v>537090.11</v>
      </c>
      <c r="H24" s="704"/>
      <c r="I24" s="706">
        <f>B24+SUM(D24:H24)</f>
        <v>537090.11</v>
      </c>
    </row>
    <row r="25" spans="1:9" x14ac:dyDescent="0.2">
      <c r="A25" s="701" t="s">
        <v>365</v>
      </c>
      <c r="B25" s="708"/>
      <c r="C25" s="708"/>
      <c r="D25" s="708"/>
      <c r="E25" s="708"/>
      <c r="F25" s="708"/>
      <c r="G25" s="708">
        <v>0</v>
      </c>
      <c r="H25" s="704"/>
      <c r="I25" s="706">
        <f>B25+SUM(D25:H25)</f>
        <v>0</v>
      </c>
    </row>
    <row r="26" spans="1:9" x14ac:dyDescent="0.2">
      <c r="A26" s="697" t="s">
        <v>38</v>
      </c>
      <c r="B26" s="698"/>
      <c r="C26" s="698">
        <f t="shared" ref="C26:I26" si="4">SUM(C27:C28)</f>
        <v>0</v>
      </c>
      <c r="D26" s="698">
        <f t="shared" si="4"/>
        <v>1249807</v>
      </c>
      <c r="E26" s="698">
        <f t="shared" si="4"/>
        <v>314121.05</v>
      </c>
      <c r="F26" s="699">
        <f t="shared" si="4"/>
        <v>97999</v>
      </c>
      <c r="G26" s="699">
        <f t="shared" si="4"/>
        <v>920450.94000000006</v>
      </c>
      <c r="H26" s="699">
        <f t="shared" si="4"/>
        <v>0</v>
      </c>
      <c r="I26" s="700">
        <f t="shared" si="4"/>
        <v>2582377.9900000002</v>
      </c>
    </row>
    <row r="27" spans="1:9" x14ac:dyDescent="0.2">
      <c r="A27" s="701" t="s">
        <v>39</v>
      </c>
      <c r="B27" s="702"/>
      <c r="C27" s="702"/>
      <c r="D27" s="707"/>
      <c r="E27" s="702">
        <f>252606.21+61514.84</f>
        <v>314121.05</v>
      </c>
      <c r="F27" s="705">
        <v>97999</v>
      </c>
      <c r="G27" s="705">
        <f>766047.67+98274.79+19915.74</f>
        <v>884238.20000000007</v>
      </c>
      <c r="H27" s="705"/>
      <c r="I27" s="706">
        <f>B27+SUM(D27:H27)</f>
        <v>1296358.25</v>
      </c>
    </row>
    <row r="28" spans="1:9" x14ac:dyDescent="0.2">
      <c r="A28" s="701" t="s">
        <v>37</v>
      </c>
      <c r="B28" s="703"/>
      <c r="C28" s="703"/>
      <c r="D28" s="707">
        <v>1249807</v>
      </c>
      <c r="E28" s="702"/>
      <c r="F28" s="704"/>
      <c r="G28" s="705">
        <v>36212.74</v>
      </c>
      <c r="H28" s="705"/>
      <c r="I28" s="706">
        <f>B28+SUM(D28:H28)</f>
        <v>1286019.74</v>
      </c>
    </row>
    <row r="29" spans="1:9" x14ac:dyDescent="0.2">
      <c r="A29" s="697" t="s">
        <v>438</v>
      </c>
      <c r="B29" s="698">
        <f>B21+B22-B26</f>
        <v>6682174.8200000003</v>
      </c>
      <c r="C29" s="698">
        <f t="shared" ref="C29:I29" si="5">C21+C22-C26</f>
        <v>0</v>
      </c>
      <c r="D29" s="698">
        <f t="shared" si="5"/>
        <v>181925698.19</v>
      </c>
      <c r="E29" s="698">
        <f t="shared" si="5"/>
        <v>8698747.7799999993</v>
      </c>
      <c r="F29" s="699">
        <f t="shared" si="5"/>
        <v>324119.21000000002</v>
      </c>
      <c r="G29" s="699">
        <f t="shared" si="5"/>
        <v>12491072.260000002</v>
      </c>
      <c r="H29" s="699">
        <f t="shared" si="5"/>
        <v>0</v>
      </c>
      <c r="I29" s="700">
        <f t="shared" si="5"/>
        <v>210121812.25999999</v>
      </c>
    </row>
    <row r="30" spans="1:9" x14ac:dyDescent="0.2">
      <c r="A30" s="1023" t="s">
        <v>274</v>
      </c>
      <c r="B30" s="1025"/>
      <c r="C30" s="1025"/>
      <c r="D30" s="1025"/>
      <c r="E30" s="1025"/>
      <c r="F30" s="1025"/>
      <c r="G30" s="1025"/>
      <c r="H30" s="1025"/>
      <c r="I30" s="1026"/>
    </row>
    <row r="31" spans="1:9" x14ac:dyDescent="0.2">
      <c r="A31" s="697" t="s">
        <v>439</v>
      </c>
      <c r="B31" s="698">
        <v>85895.07</v>
      </c>
      <c r="C31" s="698">
        <v>85895.07</v>
      </c>
      <c r="D31" s="698">
        <v>0</v>
      </c>
      <c r="E31" s="698">
        <v>0</v>
      </c>
      <c r="F31" s="699">
        <v>0</v>
      </c>
      <c r="G31" s="699">
        <v>0</v>
      </c>
      <c r="H31" s="699">
        <v>2247081.0099999998</v>
      </c>
      <c r="I31" s="700">
        <f>B31+H31</f>
        <v>2332976.0799999996</v>
      </c>
    </row>
    <row r="32" spans="1:9" x14ac:dyDescent="0.2">
      <c r="A32" s="701" t="s">
        <v>52</v>
      </c>
      <c r="B32" s="702">
        <v>82567.289999999994</v>
      </c>
      <c r="C32" s="702">
        <v>82567.289999999994</v>
      </c>
      <c r="D32" s="702"/>
      <c r="E32" s="702"/>
      <c r="F32" s="705"/>
      <c r="G32" s="705"/>
      <c r="H32" s="704">
        <v>8610</v>
      </c>
      <c r="I32" s="706">
        <f>B32+SUM(D32:H32)</f>
        <v>91177.29</v>
      </c>
    </row>
    <row r="33" spans="1:9" x14ac:dyDescent="0.2">
      <c r="A33" s="701" t="s">
        <v>56</v>
      </c>
      <c r="B33" s="709">
        <v>85895.07</v>
      </c>
      <c r="C33" s="709">
        <v>85895.07</v>
      </c>
      <c r="D33" s="709"/>
      <c r="E33" s="709"/>
      <c r="F33" s="710"/>
      <c r="G33" s="710"/>
      <c r="H33" s="710"/>
      <c r="I33" s="706">
        <f>B33+SUM(D33:H33)</f>
        <v>85895.07</v>
      </c>
    </row>
    <row r="34" spans="1:9" x14ac:dyDescent="0.2">
      <c r="A34" s="711" t="s">
        <v>438</v>
      </c>
      <c r="B34" s="712">
        <f>B31+B32-B33</f>
        <v>82567.289999999979</v>
      </c>
      <c r="C34" s="712">
        <f>C31+C32-C33</f>
        <v>82567.289999999979</v>
      </c>
      <c r="D34" s="712">
        <f t="shared" ref="D34:I34" si="6">D31+D32-D33</f>
        <v>0</v>
      </c>
      <c r="E34" s="712">
        <f t="shared" si="6"/>
        <v>0</v>
      </c>
      <c r="F34" s="713">
        <f t="shared" si="6"/>
        <v>0</v>
      </c>
      <c r="G34" s="713">
        <f t="shared" si="6"/>
        <v>0</v>
      </c>
      <c r="H34" s="713">
        <f t="shared" si="6"/>
        <v>2255691.0099999998</v>
      </c>
      <c r="I34" s="714">
        <f t="shared" si="6"/>
        <v>2338258.2999999998</v>
      </c>
    </row>
    <row r="35" spans="1:9" x14ac:dyDescent="0.2">
      <c r="A35" s="1023" t="s">
        <v>46</v>
      </c>
      <c r="B35" s="1024"/>
      <c r="C35" s="1024"/>
      <c r="D35" s="1024"/>
      <c r="E35" s="1024"/>
      <c r="F35" s="1024"/>
      <c r="G35" s="1024"/>
      <c r="H35" s="1024"/>
      <c r="I35" s="1026"/>
    </row>
    <row r="36" spans="1:9" x14ac:dyDescent="0.2">
      <c r="A36" s="715" t="s">
        <v>439</v>
      </c>
      <c r="B36" s="716">
        <f t="shared" ref="B36:I36" si="7">B11-B21-B31</f>
        <v>464069596.79999995</v>
      </c>
      <c r="C36" s="716">
        <f t="shared" si="7"/>
        <v>8656525.8100000005</v>
      </c>
      <c r="D36" s="716">
        <f t="shared" si="7"/>
        <v>140026581.19</v>
      </c>
      <c r="E36" s="716">
        <f t="shared" si="7"/>
        <v>2668020.7400000002</v>
      </c>
      <c r="F36" s="716">
        <f t="shared" si="7"/>
        <v>0</v>
      </c>
      <c r="G36" s="717">
        <f t="shared" si="7"/>
        <v>294398.93999999948</v>
      </c>
      <c r="H36" s="717">
        <f>H11-H21-H31</f>
        <v>87955514.949999988</v>
      </c>
      <c r="I36" s="718">
        <f t="shared" si="7"/>
        <v>695014112.61999989</v>
      </c>
    </row>
    <row r="37" spans="1:9" ht="13.5" thickBot="1" x14ac:dyDescent="0.25">
      <c r="A37" s="488" t="s">
        <v>438</v>
      </c>
      <c r="B37" s="719">
        <f>B19-B29-B34</f>
        <v>494316793.14999992</v>
      </c>
      <c r="C37" s="719">
        <f>C19-C29-C34</f>
        <v>8480531.3100000024</v>
      </c>
      <c r="D37" s="719">
        <f t="shared" ref="D37:I37" si="8">D19-D29-D34</f>
        <v>133584206.25</v>
      </c>
      <c r="E37" s="719">
        <f>E19-E29-E34</f>
        <v>2148863.42</v>
      </c>
      <c r="F37" s="720">
        <f t="shared" si="8"/>
        <v>151669.99999999994</v>
      </c>
      <c r="G37" s="720">
        <f t="shared" si="8"/>
        <v>228251.49999999814</v>
      </c>
      <c r="H37" s="720">
        <f>H19-H29-H34</f>
        <v>141299862.91</v>
      </c>
      <c r="I37" s="721">
        <f t="shared" si="8"/>
        <v>771729647.23000002</v>
      </c>
    </row>
    <row r="38" spans="1:9" ht="14.25" x14ac:dyDescent="0.2">
      <c r="A38" s="489" t="s">
        <v>357</v>
      </c>
      <c r="B38" s="489"/>
      <c r="C38" s="490"/>
      <c r="D38" s="490"/>
    </row>
    <row r="39" spans="1:9" ht="14.25" thickBot="1" x14ac:dyDescent="0.25">
      <c r="A39" s="491"/>
      <c r="B39" s="491"/>
      <c r="C39" s="490"/>
      <c r="D39" s="490"/>
    </row>
    <row r="40" spans="1:9" ht="21.75" customHeight="1" x14ac:dyDescent="0.2">
      <c r="A40" s="1001" t="s">
        <v>268</v>
      </c>
      <c r="B40" s="1002"/>
      <c r="C40" s="995" t="s">
        <v>271</v>
      </c>
      <c r="D40" s="490"/>
    </row>
    <row r="41" spans="1:9" ht="13.5" customHeight="1" x14ac:dyDescent="0.2">
      <c r="A41" s="1003"/>
      <c r="B41" s="1004"/>
      <c r="C41" s="996"/>
      <c r="D41" s="490"/>
    </row>
    <row r="42" spans="1:9" ht="29.25" customHeight="1" x14ac:dyDescent="0.2">
      <c r="A42" s="1005"/>
      <c r="B42" s="1006"/>
      <c r="C42" s="997"/>
      <c r="D42" s="490"/>
    </row>
    <row r="43" spans="1:9" ht="15" x14ac:dyDescent="0.3">
      <c r="A43" s="998" t="s">
        <v>34</v>
      </c>
      <c r="B43" s="999"/>
      <c r="C43" s="1000"/>
      <c r="D43" s="490"/>
    </row>
    <row r="44" spans="1:9" ht="15" x14ac:dyDescent="0.3">
      <c r="A44" s="685" t="s">
        <v>437</v>
      </c>
      <c r="B44" s="686"/>
      <c r="C44" s="492">
        <v>2393047.5</v>
      </c>
      <c r="D44" s="490"/>
    </row>
    <row r="45" spans="1:9" ht="15" x14ac:dyDescent="0.3">
      <c r="A45" s="689" t="s">
        <v>35</v>
      </c>
      <c r="B45" s="690"/>
      <c r="C45" s="493">
        <v>221242.06</v>
      </c>
      <c r="D45" s="490"/>
    </row>
    <row r="46" spans="1:9" ht="15" x14ac:dyDescent="0.3">
      <c r="A46" s="687" t="s">
        <v>36</v>
      </c>
      <c r="B46" s="688"/>
      <c r="C46" s="494">
        <v>221242.06</v>
      </c>
      <c r="D46" s="490"/>
    </row>
    <row r="47" spans="1:9" ht="15" x14ac:dyDescent="0.3">
      <c r="A47" s="687" t="s">
        <v>37</v>
      </c>
      <c r="B47" s="688"/>
      <c r="C47" s="494"/>
      <c r="D47" s="490"/>
    </row>
    <row r="48" spans="1:9" ht="15" x14ac:dyDescent="0.3">
      <c r="A48" s="689" t="s">
        <v>38</v>
      </c>
      <c r="B48" s="690"/>
      <c r="C48" s="493">
        <v>788040.05</v>
      </c>
      <c r="D48" s="490"/>
    </row>
    <row r="49" spans="1:4" ht="15" x14ac:dyDescent="0.3">
      <c r="A49" s="687" t="s">
        <v>39</v>
      </c>
      <c r="B49" s="688"/>
      <c r="C49" s="494">
        <v>788040.05</v>
      </c>
      <c r="D49" s="490"/>
    </row>
    <row r="50" spans="1:4" ht="15" x14ac:dyDescent="0.3">
      <c r="A50" s="687" t="s">
        <v>37</v>
      </c>
      <c r="B50" s="688"/>
      <c r="C50" s="494"/>
      <c r="D50" s="490"/>
    </row>
    <row r="51" spans="1:4" ht="15" x14ac:dyDescent="0.3">
      <c r="A51" s="689" t="s">
        <v>440</v>
      </c>
      <c r="B51" s="690"/>
      <c r="C51" s="493">
        <v>1826249.51</v>
      </c>
      <c r="D51" s="490"/>
    </row>
    <row r="52" spans="1:4" ht="15" x14ac:dyDescent="0.3">
      <c r="A52" s="722" t="s">
        <v>269</v>
      </c>
      <c r="B52" s="723"/>
      <c r="C52" s="724"/>
      <c r="D52" s="490"/>
    </row>
    <row r="53" spans="1:4" ht="15" x14ac:dyDescent="0.3">
      <c r="A53" s="685" t="s">
        <v>439</v>
      </c>
      <c r="B53" s="686"/>
      <c r="C53" s="492">
        <v>2393047.5</v>
      </c>
      <c r="D53" s="490"/>
    </row>
    <row r="54" spans="1:4" ht="15" x14ac:dyDescent="0.3">
      <c r="A54" s="689" t="s">
        <v>35</v>
      </c>
      <c r="B54" s="690"/>
      <c r="C54" s="493">
        <v>221242.06</v>
      </c>
      <c r="D54" s="490"/>
    </row>
    <row r="55" spans="1:4" ht="15" x14ac:dyDescent="0.3">
      <c r="A55" s="687" t="s">
        <v>44</v>
      </c>
      <c r="B55" s="688"/>
      <c r="C55" s="494">
        <v>221242.06</v>
      </c>
      <c r="D55" s="490"/>
    </row>
    <row r="56" spans="1:4" ht="15" x14ac:dyDescent="0.3">
      <c r="A56" s="687" t="s">
        <v>37</v>
      </c>
      <c r="B56" s="688"/>
      <c r="C56" s="494"/>
      <c r="D56" s="490"/>
    </row>
    <row r="57" spans="1:4" ht="15" x14ac:dyDescent="0.3">
      <c r="A57" s="689" t="s">
        <v>38</v>
      </c>
      <c r="B57" s="690"/>
      <c r="C57" s="493">
        <v>788040.05</v>
      </c>
      <c r="D57" s="490"/>
    </row>
    <row r="58" spans="1:4" ht="15" x14ac:dyDescent="0.3">
      <c r="A58" s="687" t="s">
        <v>39</v>
      </c>
      <c r="B58" s="688"/>
      <c r="C58" s="494">
        <v>788040.05</v>
      </c>
      <c r="D58" s="490"/>
    </row>
    <row r="59" spans="1:4" ht="15" x14ac:dyDescent="0.3">
      <c r="A59" s="691" t="s">
        <v>37</v>
      </c>
      <c r="B59" s="692"/>
      <c r="C59" s="495"/>
      <c r="D59" s="490"/>
    </row>
    <row r="60" spans="1:4" ht="15" x14ac:dyDescent="0.3">
      <c r="A60" s="693" t="s">
        <v>438</v>
      </c>
      <c r="B60" s="694"/>
      <c r="C60" s="496">
        <v>1826249.51</v>
      </c>
      <c r="D60" s="490"/>
    </row>
    <row r="61" spans="1:4" ht="15" x14ac:dyDescent="0.2">
      <c r="A61" s="1115" t="s">
        <v>274</v>
      </c>
      <c r="B61" s="1116"/>
      <c r="C61" s="1117"/>
      <c r="D61" s="490"/>
    </row>
    <row r="62" spans="1:4" ht="15" x14ac:dyDescent="0.3">
      <c r="A62" s="959" t="s">
        <v>439</v>
      </c>
      <c r="B62" s="960"/>
      <c r="C62" s="492"/>
      <c r="D62" s="490"/>
    </row>
    <row r="63" spans="1:4" ht="15" x14ac:dyDescent="0.3">
      <c r="A63" s="957" t="s">
        <v>52</v>
      </c>
      <c r="B63" s="958"/>
      <c r="C63" s="494"/>
      <c r="D63" s="490"/>
    </row>
    <row r="64" spans="1:4" ht="15" x14ac:dyDescent="0.3">
      <c r="A64" s="957" t="s">
        <v>56</v>
      </c>
      <c r="B64" s="958"/>
      <c r="C64" s="494"/>
      <c r="D64" s="490"/>
    </row>
    <row r="65" spans="1:7" ht="15" x14ac:dyDescent="0.3">
      <c r="A65" s="965" t="s">
        <v>440</v>
      </c>
      <c r="B65" s="966"/>
      <c r="C65" s="497">
        <f>C62+C63-C64</f>
        <v>0</v>
      </c>
      <c r="D65" s="490"/>
    </row>
    <row r="66" spans="1:7" ht="15" x14ac:dyDescent="0.3">
      <c r="A66" s="998" t="s">
        <v>46</v>
      </c>
      <c r="B66" s="999"/>
      <c r="C66" s="1117"/>
      <c r="D66" s="490"/>
    </row>
    <row r="67" spans="1:7" ht="15" x14ac:dyDescent="0.3">
      <c r="A67" s="959" t="s">
        <v>439</v>
      </c>
      <c r="B67" s="960"/>
      <c r="C67" s="492">
        <f>C44-C53-C62</f>
        <v>0</v>
      </c>
      <c r="D67" s="490"/>
    </row>
    <row r="68" spans="1:7" ht="15.75" thickBot="1" x14ac:dyDescent="0.35">
      <c r="A68" s="955" t="s">
        <v>438</v>
      </c>
      <c r="B68" s="956"/>
      <c r="C68" s="498">
        <f>C51-C60-C65</f>
        <v>0</v>
      </c>
      <c r="D68" s="490"/>
    </row>
    <row r="76" spans="1:7" ht="15" x14ac:dyDescent="0.25">
      <c r="A76" s="967" t="s">
        <v>356</v>
      </c>
      <c r="B76" s="968"/>
      <c r="C76" s="968"/>
      <c r="D76" s="968"/>
      <c r="E76" s="968"/>
      <c r="F76" s="169"/>
      <c r="G76" s="169"/>
    </row>
    <row r="77" spans="1:7" ht="14.25" thickBot="1" x14ac:dyDescent="0.25">
      <c r="A77" s="170"/>
      <c r="B77" s="171"/>
      <c r="C77" s="171"/>
      <c r="D77" s="171"/>
      <c r="E77" s="171"/>
      <c r="F77" s="169"/>
      <c r="G77" s="169"/>
    </row>
    <row r="78" spans="1:7" ht="153.75" thickBot="1" x14ac:dyDescent="0.25">
      <c r="A78" s="172" t="s">
        <v>111</v>
      </c>
      <c r="B78" s="173" t="s">
        <v>276</v>
      </c>
      <c r="C78" s="173" t="s">
        <v>277</v>
      </c>
      <c r="D78" s="173" t="s">
        <v>278</v>
      </c>
      <c r="E78" s="174" t="s">
        <v>256</v>
      </c>
      <c r="F78" s="169"/>
      <c r="G78" s="169"/>
    </row>
    <row r="79" spans="1:7" ht="14.25" thickBot="1" x14ac:dyDescent="0.25">
      <c r="A79" s="175" t="s">
        <v>34</v>
      </c>
      <c r="B79" s="176"/>
      <c r="C79" s="176"/>
      <c r="D79" s="176"/>
      <c r="E79" s="177"/>
      <c r="F79" s="169"/>
      <c r="G79" s="169"/>
    </row>
    <row r="80" spans="1:7" ht="25.5" x14ac:dyDescent="0.3">
      <c r="A80" s="178" t="s">
        <v>441</v>
      </c>
      <c r="B80" s="179">
        <v>6944.06</v>
      </c>
      <c r="C80" s="179">
        <v>13420</v>
      </c>
      <c r="D80" s="179"/>
      <c r="E80" s="180">
        <f>B80+C80+D80</f>
        <v>20364.060000000001</v>
      </c>
      <c r="F80" s="181"/>
      <c r="G80" s="182"/>
    </row>
    <row r="81" spans="1:7" ht="13.5" x14ac:dyDescent="0.2">
      <c r="A81" s="183" t="s">
        <v>52</v>
      </c>
      <c r="B81" s="184">
        <f>SUM(B82:B83)</f>
        <v>0</v>
      </c>
      <c r="C81" s="184">
        <f>SUM(C82:C83)</f>
        <v>0</v>
      </c>
      <c r="D81" s="184">
        <f>SUM(D82:D83)</f>
        <v>0</v>
      </c>
      <c r="E81" s="185">
        <f>SUM(E82:E83)</f>
        <v>0</v>
      </c>
      <c r="F81" s="169"/>
      <c r="G81" s="169"/>
    </row>
    <row r="82" spans="1:7" ht="13.5" x14ac:dyDescent="0.2">
      <c r="A82" s="186" t="s">
        <v>262</v>
      </c>
      <c r="B82" s="187"/>
      <c r="C82" s="187"/>
      <c r="D82" s="187"/>
      <c r="E82" s="188">
        <f>B82+C82+D82</f>
        <v>0</v>
      </c>
      <c r="F82" s="169"/>
      <c r="G82" s="169"/>
    </row>
    <row r="83" spans="1:7" ht="13.5" x14ac:dyDescent="0.2">
      <c r="A83" s="186" t="s">
        <v>279</v>
      </c>
      <c r="B83" s="187"/>
      <c r="C83" s="187"/>
      <c r="D83" s="187"/>
      <c r="E83" s="188">
        <f>B83+C83+D83</f>
        <v>0</v>
      </c>
      <c r="F83" s="169"/>
      <c r="G83" s="169"/>
    </row>
    <row r="84" spans="1:7" ht="13.5" x14ac:dyDescent="0.2">
      <c r="A84" s="183" t="s">
        <v>56</v>
      </c>
      <c r="B84" s="184">
        <f>SUM(B85:B87)</f>
        <v>0</v>
      </c>
      <c r="C84" s="184">
        <f>SUM(C85:C87)</f>
        <v>0</v>
      </c>
      <c r="D84" s="184">
        <f>SUM(D85:D87)</f>
        <v>0</v>
      </c>
      <c r="E84" s="185">
        <f>SUM(E85:E87)</f>
        <v>0</v>
      </c>
      <c r="F84" s="169"/>
      <c r="G84" s="169"/>
    </row>
    <row r="85" spans="1:7" ht="13.5" x14ac:dyDescent="0.2">
      <c r="A85" s="186" t="s">
        <v>263</v>
      </c>
      <c r="B85" s="187"/>
      <c r="C85" s="187"/>
      <c r="D85" s="187"/>
      <c r="E85" s="188">
        <f>B85+C85+D85</f>
        <v>0</v>
      </c>
      <c r="F85" s="169"/>
      <c r="G85" s="169"/>
    </row>
    <row r="86" spans="1:7" ht="13.5" x14ac:dyDescent="0.2">
      <c r="A86" s="186" t="s">
        <v>264</v>
      </c>
      <c r="B86" s="187"/>
      <c r="C86" s="187"/>
      <c r="D86" s="187"/>
      <c r="E86" s="188">
        <f>B86+C86+D86</f>
        <v>0</v>
      </c>
      <c r="F86" s="169"/>
      <c r="G86" s="169"/>
    </row>
    <row r="87" spans="1:7" ht="13.5" x14ac:dyDescent="0.2">
      <c r="A87" s="189" t="s">
        <v>280</v>
      </c>
      <c r="B87" s="187"/>
      <c r="C87" s="187"/>
      <c r="D87" s="187"/>
      <c r="E87" s="188">
        <f>B87+C87+D87</f>
        <v>0</v>
      </c>
      <c r="F87" s="169"/>
      <c r="G87" s="169"/>
    </row>
    <row r="88" spans="1:7" ht="26.25" thickBot="1" x14ac:dyDescent="0.25">
      <c r="A88" s="190" t="s">
        <v>442</v>
      </c>
      <c r="B88" s="191">
        <f>B80+B81-B84</f>
        <v>6944.06</v>
      </c>
      <c r="C88" s="191">
        <f>C80+C81-C84</f>
        <v>13420</v>
      </c>
      <c r="D88" s="191">
        <f>D80+D81-D84</f>
        <v>0</v>
      </c>
      <c r="E88" s="192">
        <f>E80+E81-E84</f>
        <v>20364.060000000001</v>
      </c>
      <c r="F88" s="169"/>
      <c r="G88" s="169"/>
    </row>
    <row r="89" spans="1:7" ht="14.25" thickBot="1" x14ac:dyDescent="0.25">
      <c r="A89" s="193" t="s">
        <v>265</v>
      </c>
      <c r="B89" s="171"/>
      <c r="C89" s="171"/>
      <c r="D89" s="171"/>
      <c r="E89" s="194"/>
      <c r="F89" s="169"/>
      <c r="G89" s="169"/>
    </row>
    <row r="90" spans="1:7" ht="13.5" x14ac:dyDescent="0.2">
      <c r="A90" s="178" t="s">
        <v>443</v>
      </c>
      <c r="B90" s="179"/>
      <c r="C90" s="179"/>
      <c r="D90" s="179"/>
      <c r="E90" s="180">
        <f>B90+C90+D90</f>
        <v>0</v>
      </c>
      <c r="F90" s="169"/>
      <c r="G90" s="169"/>
    </row>
    <row r="91" spans="1:7" ht="13.5" x14ac:dyDescent="0.2">
      <c r="A91" s="183" t="s">
        <v>52</v>
      </c>
      <c r="B91" s="195"/>
      <c r="C91" s="195"/>
      <c r="D91" s="195"/>
      <c r="E91" s="185">
        <f>SUM(B91:D91)</f>
        <v>0</v>
      </c>
      <c r="F91" s="169"/>
      <c r="G91" s="169"/>
    </row>
    <row r="92" spans="1:7" ht="13.5" x14ac:dyDescent="0.2">
      <c r="A92" s="183" t="s">
        <v>56</v>
      </c>
      <c r="B92" s="195"/>
      <c r="C92" s="195"/>
      <c r="D92" s="195"/>
      <c r="E92" s="185">
        <f>SUM(B92:D92)</f>
        <v>0</v>
      </c>
      <c r="F92" s="169"/>
      <c r="G92" s="169"/>
    </row>
    <row r="93" spans="1:7" ht="37.5" customHeight="1" thickBot="1" x14ac:dyDescent="0.25">
      <c r="A93" s="190" t="s">
        <v>444</v>
      </c>
      <c r="B93" s="191">
        <f>B90+B91-B92</f>
        <v>0</v>
      </c>
      <c r="C93" s="191">
        <f>C90+C91-C92</f>
        <v>0</v>
      </c>
      <c r="D93" s="191">
        <f>D90+D91-D92</f>
        <v>0</v>
      </c>
      <c r="E93" s="192">
        <f>E90+E91-E92</f>
        <v>0</v>
      </c>
      <c r="F93" s="169"/>
      <c r="G93" s="169"/>
    </row>
    <row r="94" spans="1:7" ht="13.5" thickBot="1" x14ac:dyDescent="0.25">
      <c r="A94" s="1032" t="s">
        <v>46</v>
      </c>
      <c r="B94" s="1033"/>
      <c r="C94" s="1033"/>
      <c r="D94" s="1033"/>
      <c r="E94" s="1034"/>
    </row>
    <row r="95" spans="1:7" x14ac:dyDescent="0.2">
      <c r="A95" s="499" t="s">
        <v>185</v>
      </c>
      <c r="B95" s="500">
        <f>B80-B90</f>
        <v>6944.06</v>
      </c>
      <c r="C95" s="500">
        <f>C80-C90</f>
        <v>13420</v>
      </c>
      <c r="D95" s="500">
        <f>D80-D90</f>
        <v>0</v>
      </c>
      <c r="E95" s="500">
        <f>E80-E90</f>
        <v>20364.060000000001</v>
      </c>
    </row>
    <row r="96" spans="1:7" ht="13.5" thickBot="1" x14ac:dyDescent="0.25">
      <c r="A96" s="501" t="s">
        <v>186</v>
      </c>
      <c r="B96" s="502">
        <f>B88-B93</f>
        <v>6944.06</v>
      </c>
      <c r="C96" s="502">
        <f>C88-C93</f>
        <v>13420</v>
      </c>
      <c r="D96" s="502">
        <f>D88-D93</f>
        <v>0</v>
      </c>
      <c r="E96" s="502">
        <f>E88-E93</f>
        <v>20364.060000000001</v>
      </c>
    </row>
    <row r="101" spans="1:9" ht="48" customHeight="1" x14ac:dyDescent="0.25">
      <c r="A101" s="963" t="s">
        <v>355</v>
      </c>
      <c r="B101" s="963"/>
      <c r="C101" s="963"/>
      <c r="D101" s="963"/>
    </row>
    <row r="102" spans="1:9" ht="13.5" thickBot="1" x14ac:dyDescent="0.25">
      <c r="A102" s="961"/>
      <c r="B102" s="962"/>
      <c r="C102" s="962"/>
    </row>
    <row r="103" spans="1:9" x14ac:dyDescent="0.2">
      <c r="A103" s="503" t="s">
        <v>26</v>
      </c>
      <c r="B103" s="504" t="s">
        <v>185</v>
      </c>
      <c r="C103" s="504" t="s">
        <v>186</v>
      </c>
      <c r="D103" s="505" t="s">
        <v>151</v>
      </c>
    </row>
    <row r="104" spans="1:9" x14ac:dyDescent="0.2">
      <c r="A104" s="506" t="s">
        <v>281</v>
      </c>
      <c r="B104" s="507"/>
      <c r="C104" s="507"/>
      <c r="D104" s="508"/>
    </row>
    <row r="105" spans="1:9" x14ac:dyDescent="0.2">
      <c r="A105" s="509" t="s">
        <v>137</v>
      </c>
      <c r="B105" s="510"/>
      <c r="C105" s="510"/>
      <c r="D105" s="511"/>
    </row>
    <row r="106" spans="1:9" ht="13.5" thickBot="1" x14ac:dyDescent="0.25">
      <c r="A106" s="512" t="s">
        <v>110</v>
      </c>
      <c r="B106" s="513"/>
      <c r="C106" s="514"/>
      <c r="D106" s="515"/>
    </row>
    <row r="109" spans="1:9" ht="15" x14ac:dyDescent="0.25">
      <c r="A109" s="963" t="s">
        <v>354</v>
      </c>
      <c r="B109" s="964"/>
      <c r="C109" s="964"/>
      <c r="D109" s="929"/>
      <c r="E109" s="929"/>
      <c r="F109" s="929"/>
      <c r="G109" s="929"/>
    </row>
    <row r="110" spans="1:9" ht="13.5" thickBot="1" x14ac:dyDescent="0.25">
      <c r="A110" s="961"/>
      <c r="B110" s="962"/>
      <c r="C110" s="962"/>
    </row>
    <row r="111" spans="1:9" ht="13.5" customHeight="1" x14ac:dyDescent="0.2">
      <c r="A111" s="1030"/>
      <c r="B111" s="983" t="s">
        <v>282</v>
      </c>
      <c r="C111" s="984"/>
      <c r="D111" s="984"/>
      <c r="E111" s="984"/>
      <c r="F111" s="985"/>
      <c r="G111" s="983" t="s">
        <v>283</v>
      </c>
      <c r="H111" s="984"/>
      <c r="I111" s="985"/>
    </row>
    <row r="112" spans="1:9" ht="38.25" x14ac:dyDescent="0.2">
      <c r="A112" s="1031"/>
      <c r="B112" s="516" t="s">
        <v>147</v>
      </c>
      <c r="C112" s="517" t="s">
        <v>337</v>
      </c>
      <c r="D112" s="517" t="s">
        <v>157</v>
      </c>
      <c r="E112" s="517" t="s">
        <v>132</v>
      </c>
      <c r="F112" s="7" t="s">
        <v>386</v>
      </c>
      <c r="G112" s="8" t="s">
        <v>65</v>
      </c>
      <c r="H112" s="9" t="s">
        <v>376</v>
      </c>
      <c r="I112" s="10" t="s">
        <v>40</v>
      </c>
    </row>
    <row r="113" spans="1:9" x14ac:dyDescent="0.2">
      <c r="A113" s="518" t="s">
        <v>185</v>
      </c>
      <c r="B113" s="519"/>
      <c r="C113" s="520">
        <v>2332976.0799999996</v>
      </c>
      <c r="D113" s="520"/>
      <c r="E113" s="521"/>
      <c r="F113" s="12"/>
      <c r="G113" s="13"/>
      <c r="H113" s="11"/>
      <c r="I113" s="14"/>
    </row>
    <row r="114" spans="1:9" ht="38.25" x14ac:dyDescent="0.2">
      <c r="A114" s="522" t="s">
        <v>390</v>
      </c>
      <c r="B114" s="523"/>
      <c r="C114" s="524">
        <v>91177.29</v>
      </c>
      <c r="D114" s="525"/>
      <c r="E114" s="521"/>
      <c r="F114" s="12"/>
      <c r="G114" s="13"/>
      <c r="H114" s="15"/>
      <c r="I114" s="16"/>
    </row>
    <row r="115" spans="1:9" ht="39" thickBot="1" x14ac:dyDescent="0.25">
      <c r="A115" s="526" t="s">
        <v>391</v>
      </c>
      <c r="B115" s="527"/>
      <c r="C115" s="528">
        <v>85895.07</v>
      </c>
      <c r="D115" s="529"/>
      <c r="E115" s="530"/>
      <c r="F115" s="18"/>
      <c r="G115" s="19"/>
      <c r="H115" s="17"/>
      <c r="I115" s="20"/>
    </row>
    <row r="116" spans="1:9" ht="13.5" thickBot="1" x14ac:dyDescent="0.25">
      <c r="A116" s="531" t="s">
        <v>186</v>
      </c>
      <c r="B116" s="532">
        <f t="shared" ref="B116:I116" si="9">B113+B114-B115</f>
        <v>0</v>
      </c>
      <c r="C116" s="533">
        <f t="shared" si="9"/>
        <v>2338258.2999999998</v>
      </c>
      <c r="D116" s="533">
        <f t="shared" si="9"/>
        <v>0</v>
      </c>
      <c r="E116" s="534">
        <f t="shared" si="9"/>
        <v>0</v>
      </c>
      <c r="F116" s="22">
        <f t="shared" si="9"/>
        <v>0</v>
      </c>
      <c r="G116" s="23">
        <f t="shared" si="9"/>
        <v>0</v>
      </c>
      <c r="H116" s="21">
        <f t="shared" si="9"/>
        <v>0</v>
      </c>
      <c r="I116" s="22">
        <f t="shared" si="9"/>
        <v>0</v>
      </c>
    </row>
    <row r="119" spans="1:9" ht="15" customHeight="1" x14ac:dyDescent="0.25">
      <c r="A119" s="963" t="s">
        <v>353</v>
      </c>
      <c r="B119" s="964"/>
      <c r="C119" s="964"/>
    </row>
    <row r="120" spans="1:9" ht="13.5" thickBot="1" x14ac:dyDescent="0.25">
      <c r="A120" s="961"/>
      <c r="B120" s="962"/>
      <c r="C120" s="962"/>
    </row>
    <row r="121" spans="1:9" x14ac:dyDescent="0.2">
      <c r="A121" s="535" t="s">
        <v>26</v>
      </c>
      <c r="B121" s="504" t="s">
        <v>185</v>
      </c>
      <c r="C121" s="505" t="s">
        <v>186</v>
      </c>
    </row>
    <row r="122" spans="1:9" ht="26.25" thickBot="1" x14ac:dyDescent="0.25">
      <c r="A122" s="536" t="s">
        <v>284</v>
      </c>
      <c r="B122" s="537">
        <f>20579794.9-6167679.94</f>
        <v>14412114.959999997</v>
      </c>
      <c r="C122" s="537">
        <f>20579794.9-6682174.82</f>
        <v>13897620.079999998</v>
      </c>
    </row>
    <row r="126" spans="1:9" ht="50.25" customHeight="1" x14ac:dyDescent="0.25">
      <c r="A126" s="963" t="s">
        <v>366</v>
      </c>
      <c r="B126" s="964"/>
      <c r="C126" s="964"/>
      <c r="D126" s="929"/>
    </row>
    <row r="127" spans="1:9" ht="13.5" thickBot="1" x14ac:dyDescent="0.25">
      <c r="A127" s="961"/>
      <c r="B127" s="962"/>
      <c r="C127" s="962"/>
    </row>
    <row r="128" spans="1:9" x14ac:dyDescent="0.2">
      <c r="A128" s="981" t="s">
        <v>111</v>
      </c>
      <c r="B128" s="982"/>
      <c r="C128" s="504" t="s">
        <v>185</v>
      </c>
      <c r="D128" s="505" t="s">
        <v>186</v>
      </c>
    </row>
    <row r="129" spans="1:4" ht="66" customHeight="1" x14ac:dyDescent="0.2">
      <c r="A129" s="1037" t="s">
        <v>285</v>
      </c>
      <c r="B129" s="1038"/>
      <c r="C129" s="507">
        <f>SUM(C131:C135)</f>
        <v>0</v>
      </c>
      <c r="D129" s="508">
        <f>SUM(D131:D135)</f>
        <v>0</v>
      </c>
    </row>
    <row r="130" spans="1:4" x14ac:dyDescent="0.2">
      <c r="A130" s="1035" t="s">
        <v>137</v>
      </c>
      <c r="B130" s="1036"/>
      <c r="C130" s="538"/>
      <c r="D130" s="539"/>
    </row>
    <row r="131" spans="1:4" x14ac:dyDescent="0.2">
      <c r="A131" s="986" t="s">
        <v>24</v>
      </c>
      <c r="B131" s="987"/>
      <c r="C131" s="540"/>
      <c r="D131" s="541"/>
    </row>
    <row r="132" spans="1:4" x14ac:dyDescent="0.2">
      <c r="A132" s="1028" t="s">
        <v>272</v>
      </c>
      <c r="B132" s="1029"/>
      <c r="C132" s="507"/>
      <c r="D132" s="508"/>
    </row>
    <row r="133" spans="1:4" x14ac:dyDescent="0.2">
      <c r="A133" s="1028" t="s">
        <v>148</v>
      </c>
      <c r="B133" s="1029"/>
      <c r="C133" s="507"/>
      <c r="D133" s="508"/>
    </row>
    <row r="134" spans="1:4" x14ac:dyDescent="0.2">
      <c r="A134" s="1028" t="s">
        <v>149</v>
      </c>
      <c r="B134" s="1029"/>
      <c r="C134" s="507"/>
      <c r="D134" s="508"/>
    </row>
    <row r="135" spans="1:4" ht="13.5" thickBot="1" x14ac:dyDescent="0.25">
      <c r="A135" s="990" t="s">
        <v>150</v>
      </c>
      <c r="B135" s="991"/>
      <c r="C135" s="542"/>
      <c r="D135" s="543"/>
    </row>
    <row r="153" spans="1:9" ht="15" x14ac:dyDescent="0.2">
      <c r="A153" s="843" t="s">
        <v>338</v>
      </c>
      <c r="B153" s="913"/>
      <c r="C153" s="913"/>
      <c r="D153" s="913"/>
      <c r="E153" s="913"/>
      <c r="F153" s="913"/>
      <c r="G153" s="913"/>
      <c r="H153" s="913"/>
      <c r="I153" s="913"/>
    </row>
    <row r="154" spans="1:9" ht="13.5" thickBot="1" x14ac:dyDescent="0.25">
      <c r="B154" s="544"/>
      <c r="C154" s="544"/>
      <c r="D154" s="544"/>
      <c r="E154" s="544" t="s">
        <v>45</v>
      </c>
      <c r="F154" s="60"/>
      <c r="G154" s="60"/>
      <c r="H154" s="60"/>
      <c r="I154" s="60"/>
    </row>
    <row r="155" spans="1:9" ht="109.15" customHeight="1" thickBot="1" x14ac:dyDescent="0.25">
      <c r="A155" s="866"/>
      <c r="B155" s="829"/>
      <c r="C155" s="61" t="s">
        <v>286</v>
      </c>
      <c r="D155" s="545" t="s">
        <v>62</v>
      </c>
      <c r="E155" s="61" t="s">
        <v>351</v>
      </c>
      <c r="F155" s="25" t="s">
        <v>352</v>
      </c>
      <c r="G155" s="24" t="s">
        <v>377</v>
      </c>
      <c r="H155" s="62" t="s">
        <v>421</v>
      </c>
      <c r="I155" s="128" t="s">
        <v>422</v>
      </c>
    </row>
    <row r="156" spans="1:9" x14ac:dyDescent="0.2">
      <c r="A156" s="988" t="s">
        <v>186</v>
      </c>
      <c r="B156" s="1027"/>
      <c r="C156" s="546"/>
      <c r="D156" s="547"/>
      <c r="E156" s="546"/>
      <c r="F156" s="26"/>
      <c r="G156" s="27"/>
      <c r="H156" s="27"/>
      <c r="I156" s="28"/>
    </row>
    <row r="157" spans="1:9" x14ac:dyDescent="0.2">
      <c r="A157" s="548"/>
      <c r="B157" s="549" t="s">
        <v>63</v>
      </c>
      <c r="C157" s="550"/>
      <c r="D157" s="551"/>
      <c r="E157" s="550"/>
      <c r="F157" s="29"/>
      <c r="G157" s="30"/>
      <c r="H157" s="30"/>
      <c r="I157" s="31"/>
    </row>
    <row r="158" spans="1:9" x14ac:dyDescent="0.2">
      <c r="A158" s="552" t="s">
        <v>124</v>
      </c>
      <c r="B158" s="553"/>
      <c r="C158" s="554"/>
      <c r="D158" s="555"/>
      <c r="E158" s="556"/>
      <c r="F158" s="32"/>
      <c r="G158" s="33"/>
      <c r="H158" s="33"/>
      <c r="I158" s="12"/>
    </row>
    <row r="159" spans="1:9" x14ac:dyDescent="0.2">
      <c r="A159" s="552" t="s">
        <v>125</v>
      </c>
      <c r="B159" s="553"/>
      <c r="C159" s="554"/>
      <c r="D159" s="555"/>
      <c r="E159" s="556"/>
      <c r="F159" s="32"/>
      <c r="G159" s="33"/>
      <c r="H159" s="33"/>
      <c r="I159" s="12"/>
    </row>
    <row r="160" spans="1:9" ht="13.5" thickBot="1" x14ac:dyDescent="0.25">
      <c r="A160" s="557" t="s">
        <v>64</v>
      </c>
      <c r="B160" s="558"/>
      <c r="C160" s="559"/>
      <c r="D160" s="560"/>
      <c r="E160" s="561"/>
      <c r="F160" s="34"/>
      <c r="G160" s="35"/>
      <c r="H160" s="35"/>
      <c r="I160" s="36"/>
    </row>
    <row r="161" spans="1:17" ht="13.5" thickBot="1" x14ac:dyDescent="0.25">
      <c r="A161" s="562"/>
      <c r="B161" s="563" t="s">
        <v>156</v>
      </c>
      <c r="C161" s="564"/>
      <c r="D161" s="564"/>
      <c r="E161" s="564">
        <f>SUM(E158:E160)</f>
        <v>0</v>
      </c>
      <c r="F161" s="37">
        <f>SUM(F158:F160)</f>
        <v>0</v>
      </c>
      <c r="G161" s="37">
        <f>SUM(G158:G160)</f>
        <v>0</v>
      </c>
      <c r="H161" s="37"/>
      <c r="I161" s="37"/>
    </row>
    <row r="162" spans="1:17" ht="105.6" customHeight="1" thickBot="1" x14ac:dyDescent="0.25">
      <c r="A162" s="866"/>
      <c r="B162" s="867"/>
      <c r="C162" s="61" t="s">
        <v>286</v>
      </c>
      <c r="D162" s="545" t="s">
        <v>62</v>
      </c>
      <c r="E162" s="61" t="s">
        <v>351</v>
      </c>
      <c r="F162" s="25" t="s">
        <v>352</v>
      </c>
      <c r="G162" s="24" t="s">
        <v>377</v>
      </c>
      <c r="H162" s="24" t="s">
        <v>397</v>
      </c>
      <c r="I162" s="24" t="s">
        <v>378</v>
      </c>
    </row>
    <row r="163" spans="1:17" x14ac:dyDescent="0.2">
      <c r="A163" s="988" t="s">
        <v>185</v>
      </c>
      <c r="B163" s="989"/>
      <c r="C163" s="565"/>
      <c r="D163" s="566"/>
      <c r="E163" s="565"/>
      <c r="F163" s="38"/>
      <c r="G163" s="39"/>
      <c r="H163" s="39"/>
      <c r="I163" s="40"/>
    </row>
    <row r="164" spans="1:17" x14ac:dyDescent="0.2">
      <c r="A164" s="567"/>
      <c r="B164" s="568" t="s">
        <v>63</v>
      </c>
      <c r="C164" s="550"/>
      <c r="D164" s="551"/>
      <c r="E164" s="550"/>
      <c r="F164" s="29"/>
      <c r="G164" s="30"/>
      <c r="H164" s="30"/>
      <c r="I164" s="31"/>
    </row>
    <row r="165" spans="1:17" x14ac:dyDescent="0.2">
      <c r="A165" s="552" t="s">
        <v>124</v>
      </c>
      <c r="B165" s="553"/>
      <c r="C165" s="554"/>
      <c r="D165" s="555"/>
      <c r="E165" s="556"/>
      <c r="F165" s="32"/>
      <c r="G165" s="33"/>
      <c r="H165" s="33"/>
      <c r="I165" s="12"/>
    </row>
    <row r="166" spans="1:17" x14ac:dyDescent="0.2">
      <c r="A166" s="552" t="s">
        <v>125</v>
      </c>
      <c r="B166" s="553"/>
      <c r="C166" s="554"/>
      <c r="D166" s="555"/>
      <c r="E166" s="556"/>
      <c r="F166" s="32"/>
      <c r="G166" s="33"/>
      <c r="H166" s="33"/>
      <c r="I166" s="12"/>
    </row>
    <row r="167" spans="1:17" ht="13.5" thickBot="1" x14ac:dyDescent="0.25">
      <c r="A167" s="557" t="s">
        <v>64</v>
      </c>
      <c r="B167" s="558"/>
      <c r="C167" s="559"/>
      <c r="D167" s="560"/>
      <c r="E167" s="561"/>
      <c r="F167" s="34"/>
      <c r="G167" s="35"/>
      <c r="H167" s="35"/>
      <c r="I167" s="36"/>
    </row>
    <row r="168" spans="1:17" ht="13.5" thickBot="1" x14ac:dyDescent="0.25">
      <c r="A168" s="562"/>
      <c r="B168" s="563" t="s">
        <v>156</v>
      </c>
      <c r="C168" s="564"/>
      <c r="D168" s="569"/>
      <c r="E168" s="564">
        <f>SUM(E165:E167)</f>
        <v>0</v>
      </c>
      <c r="F168" s="37">
        <f>SUM(F165:F167)</f>
        <v>0</v>
      </c>
      <c r="G168" s="37">
        <f>SUM(G165:G167)</f>
        <v>0</v>
      </c>
      <c r="H168" s="37"/>
      <c r="I168" s="41"/>
    </row>
    <row r="170" spans="1:17" x14ac:dyDescent="0.2">
      <c r="E170" s="570"/>
      <c r="F170" s="435"/>
      <c r="G170" s="435"/>
      <c r="H170" s="435"/>
    </row>
    <row r="171" spans="1:17" x14ac:dyDescent="0.2">
      <c r="A171" s="887" t="s">
        <v>387</v>
      </c>
      <c r="B171" s="969"/>
      <c r="C171" s="969"/>
      <c r="D171" s="969"/>
      <c r="E171" s="969"/>
      <c r="F171" s="969"/>
      <c r="G171" s="969"/>
      <c r="H171" s="969"/>
      <c r="I171" s="969"/>
    </row>
    <row r="172" spans="1:17" ht="13.5" thickBot="1" x14ac:dyDescent="0.25">
      <c r="A172" s="571"/>
      <c r="B172" s="571"/>
      <c r="C172" s="571"/>
      <c r="D172" s="571"/>
      <c r="E172" s="571"/>
      <c r="F172" s="42"/>
      <c r="G172" s="42"/>
      <c r="H172" s="42"/>
      <c r="I172" s="42"/>
    </row>
    <row r="173" spans="1:17" ht="13.5" thickBot="1" x14ac:dyDescent="0.25">
      <c r="A173" s="970" t="s">
        <v>260</v>
      </c>
      <c r="B173" s="971"/>
      <c r="C173" s="971"/>
      <c r="D173" s="972"/>
      <c r="E173" s="851" t="s">
        <v>185</v>
      </c>
      <c r="F173" s="976" t="s">
        <v>261</v>
      </c>
      <c r="G173" s="977"/>
      <c r="H173" s="978"/>
      <c r="I173" s="979" t="s">
        <v>186</v>
      </c>
      <c r="L173" s="84"/>
      <c r="M173" s="84"/>
      <c r="N173" s="84"/>
      <c r="O173" s="84"/>
      <c r="P173" s="84"/>
      <c r="Q173" s="84"/>
    </row>
    <row r="174" spans="1:17" ht="13.5" thickBot="1" x14ac:dyDescent="0.25">
      <c r="A174" s="973"/>
      <c r="B174" s="974"/>
      <c r="C174" s="974"/>
      <c r="D174" s="975"/>
      <c r="E174" s="852"/>
      <c r="F174" s="43" t="s">
        <v>52</v>
      </c>
      <c r="G174" s="44" t="s">
        <v>288</v>
      </c>
      <c r="H174" s="43" t="s">
        <v>289</v>
      </c>
      <c r="I174" s="980"/>
      <c r="L174" s="733"/>
      <c r="M174" s="84"/>
      <c r="N174" s="733"/>
      <c r="O174" s="84"/>
      <c r="P174" s="734"/>
      <c r="Q174" s="84"/>
    </row>
    <row r="175" spans="1:17" x14ac:dyDescent="0.2">
      <c r="A175" s="572">
        <v>1</v>
      </c>
      <c r="B175" s="936" t="s">
        <v>606</v>
      </c>
      <c r="C175" s="954"/>
      <c r="D175" s="937"/>
      <c r="E175" s="456"/>
      <c r="F175" s="45"/>
      <c r="G175" s="45"/>
      <c r="H175" s="45"/>
      <c r="I175" s="46">
        <f>E175+F175-G175-H175</f>
        <v>0</v>
      </c>
      <c r="L175" s="733"/>
      <c r="M175" s="84"/>
      <c r="N175" s="733"/>
      <c r="O175" s="84"/>
      <c r="P175" s="734"/>
      <c r="Q175" s="84"/>
    </row>
    <row r="176" spans="1:17" x14ac:dyDescent="0.2">
      <c r="A176" s="573"/>
      <c r="B176" s="818" t="s">
        <v>423</v>
      </c>
      <c r="C176" s="819"/>
      <c r="D176" s="820"/>
      <c r="E176" s="574"/>
      <c r="F176" s="47"/>
      <c r="G176" s="47"/>
      <c r="H176" s="47"/>
      <c r="I176" s="48">
        <f>E176+F176-G176-H176</f>
        <v>0</v>
      </c>
      <c r="L176" s="734"/>
      <c r="M176" s="84"/>
      <c r="N176" s="734"/>
      <c r="O176" s="84"/>
      <c r="P176" s="84"/>
      <c r="Q176" s="84"/>
    </row>
    <row r="177" spans="1:17" x14ac:dyDescent="0.2">
      <c r="A177" s="575" t="s">
        <v>194</v>
      </c>
      <c r="B177" s="815" t="s">
        <v>607</v>
      </c>
      <c r="C177" s="816"/>
      <c r="D177" s="817"/>
      <c r="E177" s="576">
        <v>27082729.18</v>
      </c>
      <c r="F177" s="125">
        <f>18779002.63+64649.91</f>
        <v>18843652.539999999</v>
      </c>
      <c r="G177" s="49">
        <v>0</v>
      </c>
      <c r="H177" s="49">
        <f>17357532.2+74776.61</f>
        <v>17432308.809999999</v>
      </c>
      <c r="I177" s="424">
        <f>E177+F177-G177-H177</f>
        <v>28494072.91</v>
      </c>
      <c r="K177" s="120"/>
      <c r="L177" s="733"/>
      <c r="M177" s="84"/>
      <c r="N177" s="733"/>
      <c r="O177" s="84"/>
      <c r="P177" s="734"/>
      <c r="Q177" s="84"/>
    </row>
    <row r="178" spans="1:17" x14ac:dyDescent="0.2">
      <c r="A178" s="575"/>
      <c r="B178" s="818" t="s">
        <v>424</v>
      </c>
      <c r="C178" s="819"/>
      <c r="D178" s="820"/>
      <c r="E178" s="577">
        <v>0</v>
      </c>
      <c r="F178" s="49"/>
      <c r="G178" s="49"/>
      <c r="H178" s="49">
        <v>0</v>
      </c>
      <c r="I178" s="49">
        <f>E178+F178-G178-H178</f>
        <v>0</v>
      </c>
      <c r="L178" s="733"/>
      <c r="M178" s="84"/>
      <c r="N178" s="733"/>
      <c r="O178" s="84"/>
      <c r="P178" s="734"/>
      <c r="Q178" s="84"/>
    </row>
    <row r="179" spans="1:17" ht="13.5" thickBot="1" x14ac:dyDescent="0.25">
      <c r="A179" s="578" t="s">
        <v>196</v>
      </c>
      <c r="B179" s="815" t="s">
        <v>266</v>
      </c>
      <c r="C179" s="816"/>
      <c r="D179" s="817"/>
      <c r="E179" s="576">
        <v>20220053.98</v>
      </c>
      <c r="F179" s="442">
        <v>21247807.66</v>
      </c>
      <c r="G179" s="49"/>
      <c r="H179" s="423">
        <v>20220053.98</v>
      </c>
      <c r="I179" s="425">
        <f>E179+F179-G179-H179</f>
        <v>21247807.66</v>
      </c>
    </row>
    <row r="180" spans="1:17" ht="13.5" thickBot="1" x14ac:dyDescent="0.25">
      <c r="A180" s="821" t="s">
        <v>142</v>
      </c>
      <c r="B180" s="822"/>
      <c r="C180" s="822"/>
      <c r="D180" s="823"/>
      <c r="E180" s="579">
        <f>E175+E177+E179</f>
        <v>47302783.159999996</v>
      </c>
      <c r="F180" s="50">
        <f>F175+F177+F179</f>
        <v>40091460.200000003</v>
      </c>
      <c r="G180" s="50">
        <f>G175+G177+G179</f>
        <v>0</v>
      </c>
      <c r="H180" s="50">
        <f>H175+H177+H179</f>
        <v>37652362.789999999</v>
      </c>
      <c r="I180" s="51">
        <f>I175+I177+I179</f>
        <v>49741880.57</v>
      </c>
      <c r="L180" s="733"/>
      <c r="N180" s="733"/>
    </row>
    <row r="181" spans="1:17" x14ac:dyDescent="0.2">
      <c r="A181" s="1"/>
      <c r="B181" s="1"/>
      <c r="C181" s="1"/>
      <c r="D181" s="1"/>
      <c r="E181" s="1"/>
      <c r="F181" s="1"/>
      <c r="G181" s="1"/>
      <c r="H181" s="1"/>
      <c r="I181" s="436"/>
      <c r="L181" s="733"/>
      <c r="N181" s="733"/>
    </row>
    <row r="182" spans="1:17" x14ac:dyDescent="0.2">
      <c r="A182" s="112" t="s">
        <v>409</v>
      </c>
      <c r="B182" s="1"/>
      <c r="C182" s="1"/>
      <c r="D182" s="1"/>
      <c r="E182" s="1"/>
      <c r="F182" s="1"/>
      <c r="G182" s="1"/>
      <c r="H182" s="436"/>
      <c r="I182" s="436"/>
    </row>
    <row r="183" spans="1:17" x14ac:dyDescent="0.2">
      <c r="A183" s="112" t="s">
        <v>410</v>
      </c>
      <c r="B183" s="1"/>
      <c r="C183" s="1"/>
      <c r="D183" s="1"/>
      <c r="E183" s="1"/>
      <c r="F183" s="1"/>
      <c r="G183" s="1"/>
      <c r="H183" s="1"/>
      <c r="I183" s="436"/>
    </row>
    <row r="185" spans="1:17" ht="15" x14ac:dyDescent="0.2">
      <c r="A185" s="928" t="s">
        <v>350</v>
      </c>
      <c r="B185" s="928"/>
      <c r="C185" s="928"/>
      <c r="D185" s="928"/>
      <c r="E185" s="928"/>
      <c r="F185" s="928"/>
      <c r="G185" s="928"/>
    </row>
    <row r="186" spans="1:17" ht="13.5" thickBot="1" x14ac:dyDescent="0.25">
      <c r="A186" s="580"/>
      <c r="B186" s="571"/>
      <c r="C186" s="571"/>
      <c r="D186" s="571"/>
      <c r="E186" s="571"/>
      <c r="F186" s="42"/>
      <c r="G186" s="42"/>
    </row>
    <row r="187" spans="1:17" ht="13.5" thickBot="1" x14ac:dyDescent="0.25">
      <c r="A187" s="828" t="s">
        <v>134</v>
      </c>
      <c r="B187" s="829"/>
      <c r="C187" s="477" t="s">
        <v>267</v>
      </c>
      <c r="D187" s="581" t="s">
        <v>76</v>
      </c>
      <c r="E187" s="582" t="s">
        <v>417</v>
      </c>
      <c r="F187" s="126" t="s">
        <v>418</v>
      </c>
      <c r="G187" s="443" t="s">
        <v>294</v>
      </c>
    </row>
    <row r="188" spans="1:17" ht="26.25" customHeight="1" x14ac:dyDescent="0.2">
      <c r="A188" s="1039" t="s">
        <v>77</v>
      </c>
      <c r="B188" s="952"/>
      <c r="C188" s="583"/>
      <c r="D188" s="583"/>
      <c r="E188" s="583"/>
      <c r="F188" s="52"/>
      <c r="G188" s="450">
        <f>C188+D188-E188-F188</f>
        <v>0</v>
      </c>
    </row>
    <row r="189" spans="1:17" ht="25.5" customHeight="1" x14ac:dyDescent="0.2">
      <c r="A189" s="824" t="s">
        <v>243</v>
      </c>
      <c r="B189" s="814"/>
      <c r="C189" s="584"/>
      <c r="D189" s="584"/>
      <c r="E189" s="584"/>
      <c r="F189" s="53"/>
      <c r="G189" s="451">
        <f t="shared" ref="G189:G196" si="10">C189+D189-E189-F189</f>
        <v>0</v>
      </c>
    </row>
    <row r="190" spans="1:17" ht="12.75" customHeight="1" x14ac:dyDescent="0.2">
      <c r="A190" s="824" t="s">
        <v>244</v>
      </c>
      <c r="B190" s="814"/>
      <c r="C190" s="584"/>
      <c r="D190" s="584"/>
      <c r="E190" s="584"/>
      <c r="F190" s="53"/>
      <c r="G190" s="451">
        <f t="shared" si="10"/>
        <v>0</v>
      </c>
    </row>
    <row r="191" spans="1:17" ht="12.75" customHeight="1" x14ac:dyDescent="0.2">
      <c r="A191" s="824" t="s">
        <v>245</v>
      </c>
      <c r="B191" s="814"/>
      <c r="C191" s="584"/>
      <c r="D191" s="584"/>
      <c r="E191" s="584"/>
      <c r="F191" s="53"/>
      <c r="G191" s="451">
        <f t="shared" si="10"/>
        <v>0</v>
      </c>
    </row>
    <row r="192" spans="1:17" ht="38.25" customHeight="1" x14ac:dyDescent="0.2">
      <c r="A192" s="824" t="s">
        <v>405</v>
      </c>
      <c r="B192" s="814"/>
      <c r="C192" s="584"/>
      <c r="D192" s="584"/>
      <c r="E192" s="584"/>
      <c r="F192" s="53"/>
      <c r="G192" s="451">
        <f t="shared" si="10"/>
        <v>0</v>
      </c>
    </row>
    <row r="193" spans="1:7" ht="32.25" customHeight="1" x14ac:dyDescent="0.2">
      <c r="A193" s="824" t="s">
        <v>246</v>
      </c>
      <c r="B193" s="814"/>
      <c r="C193" s="584"/>
      <c r="D193" s="584"/>
      <c r="E193" s="584"/>
      <c r="F193" s="53"/>
      <c r="G193" s="451">
        <f t="shared" si="10"/>
        <v>0</v>
      </c>
    </row>
    <row r="194" spans="1:7" ht="12.75" customHeight="1" x14ac:dyDescent="0.2">
      <c r="A194" s="824" t="s">
        <v>247</v>
      </c>
      <c r="B194" s="814"/>
      <c r="C194" s="584"/>
      <c r="D194" s="584"/>
      <c r="E194" s="584"/>
      <c r="F194" s="53"/>
      <c r="G194" s="451">
        <f t="shared" si="10"/>
        <v>0</v>
      </c>
    </row>
    <row r="195" spans="1:7" ht="24.75" customHeight="1" thickBot="1" x14ac:dyDescent="0.25">
      <c r="A195" s="824" t="s">
        <v>608</v>
      </c>
      <c r="B195" s="814"/>
      <c r="C195" s="584"/>
      <c r="D195" s="584"/>
      <c r="E195" s="584"/>
      <c r="F195" s="53"/>
      <c r="G195" s="451">
        <f t="shared" si="10"/>
        <v>0</v>
      </c>
    </row>
    <row r="196" spans="1:7" ht="27.75" customHeight="1" thickBot="1" x14ac:dyDescent="0.25">
      <c r="A196" s="942" t="s">
        <v>609</v>
      </c>
      <c r="B196" s="943"/>
      <c r="C196" s="585"/>
      <c r="D196" s="585"/>
      <c r="E196" s="585"/>
      <c r="F196" s="54"/>
      <c r="G196" s="452">
        <f t="shared" si="10"/>
        <v>0</v>
      </c>
    </row>
    <row r="197" spans="1:7" x14ac:dyDescent="0.2">
      <c r="A197" s="825" t="s">
        <v>406</v>
      </c>
      <c r="B197" s="826"/>
      <c r="C197" s="586">
        <f>SUM(C198:C217)</f>
        <v>4750664.9800000004</v>
      </c>
      <c r="D197" s="586">
        <f>SUM(D198:D217)</f>
        <v>9186</v>
      </c>
      <c r="E197" s="586">
        <f>SUM(E198:E217)</f>
        <v>0</v>
      </c>
      <c r="F197" s="55">
        <f>SUM(F198:F217)</f>
        <v>408641.48</v>
      </c>
      <c r="G197" s="725">
        <f>SUM(G198:G217)</f>
        <v>4351209.5</v>
      </c>
    </row>
    <row r="198" spans="1:7" x14ac:dyDescent="0.2">
      <c r="A198" s="827" t="s">
        <v>0</v>
      </c>
      <c r="B198" s="814"/>
      <c r="C198" s="587">
        <v>914100</v>
      </c>
      <c r="D198" s="587">
        <v>6250</v>
      </c>
      <c r="E198" s="584"/>
      <c r="F198" s="53">
        <f>214300+152500</f>
        <v>366800</v>
      </c>
      <c r="G198" s="726">
        <f t="shared" ref="G198:G217" si="11">C198+D198-E198-F198</f>
        <v>553550</v>
      </c>
    </row>
    <row r="199" spans="1:7" ht="12.75" customHeight="1" x14ac:dyDescent="0.2">
      <c r="A199" s="827" t="s">
        <v>23</v>
      </c>
      <c r="B199" s="814"/>
      <c r="C199" s="587">
        <v>0</v>
      </c>
      <c r="D199" s="587"/>
      <c r="E199" s="584"/>
      <c r="F199" s="53"/>
      <c r="G199" s="726">
        <f t="shared" si="11"/>
        <v>0</v>
      </c>
    </row>
    <row r="200" spans="1:7" ht="13.5" customHeight="1" x14ac:dyDescent="0.2">
      <c r="A200" s="827" t="s">
        <v>1</v>
      </c>
      <c r="B200" s="814"/>
      <c r="C200" s="587">
        <v>71464.66</v>
      </c>
      <c r="D200" s="587">
        <v>2936</v>
      </c>
      <c r="E200" s="584"/>
      <c r="F200" s="53">
        <f>7182+12496.66+4425</f>
        <v>24103.66</v>
      </c>
      <c r="G200" s="726">
        <f t="shared" si="11"/>
        <v>50297</v>
      </c>
    </row>
    <row r="201" spans="1:7" ht="43.5" customHeight="1" x14ac:dyDescent="0.2">
      <c r="A201" s="830" t="s">
        <v>425</v>
      </c>
      <c r="B201" s="814"/>
      <c r="C201" s="587">
        <v>0</v>
      </c>
      <c r="D201" s="587"/>
      <c r="E201" s="584"/>
      <c r="F201" s="53"/>
      <c r="G201" s="726">
        <f t="shared" si="11"/>
        <v>0</v>
      </c>
    </row>
    <row r="202" spans="1:7" ht="12.75" customHeight="1" x14ac:dyDescent="0.2">
      <c r="A202" s="812" t="s">
        <v>2</v>
      </c>
      <c r="B202" s="814"/>
      <c r="C202" s="587">
        <v>0</v>
      </c>
      <c r="D202" s="587"/>
      <c r="E202" s="584"/>
      <c r="F202" s="53"/>
      <c r="G202" s="726">
        <f t="shared" si="11"/>
        <v>0</v>
      </c>
    </row>
    <row r="203" spans="1:7" ht="12.75" customHeight="1" x14ac:dyDescent="0.2">
      <c r="A203" s="812" t="s">
        <v>3</v>
      </c>
      <c r="B203" s="814"/>
      <c r="C203" s="587">
        <v>0</v>
      </c>
      <c r="D203" s="587"/>
      <c r="E203" s="584"/>
      <c r="F203" s="53"/>
      <c r="G203" s="726">
        <f t="shared" si="11"/>
        <v>0</v>
      </c>
    </row>
    <row r="204" spans="1:7" ht="12.75" customHeight="1" x14ac:dyDescent="0.2">
      <c r="A204" s="812" t="s">
        <v>4</v>
      </c>
      <c r="B204" s="814"/>
      <c r="C204" s="587">
        <v>2175081.8199999998</v>
      </c>
      <c r="D204" s="587"/>
      <c r="E204" s="584"/>
      <c r="F204" s="53">
        <v>17737.82</v>
      </c>
      <c r="G204" s="726">
        <f t="shared" si="11"/>
        <v>2157344</v>
      </c>
    </row>
    <row r="205" spans="1:7" ht="27" customHeight="1" x14ac:dyDescent="0.2">
      <c r="A205" s="812" t="s">
        <v>5</v>
      </c>
      <c r="B205" s="814"/>
      <c r="C205" s="587">
        <v>0</v>
      </c>
      <c r="D205" s="587"/>
      <c r="E205" s="584"/>
      <c r="F205" s="53"/>
      <c r="G205" s="726">
        <f t="shared" si="11"/>
        <v>0</v>
      </c>
    </row>
    <row r="206" spans="1:7" ht="12.75" customHeight="1" x14ac:dyDescent="0.2">
      <c r="A206" s="812" t="s">
        <v>6</v>
      </c>
      <c r="B206" s="814"/>
      <c r="C206" s="587">
        <v>0</v>
      </c>
      <c r="D206" s="587"/>
      <c r="E206" s="584"/>
      <c r="F206" s="53"/>
      <c r="G206" s="726">
        <f t="shared" si="11"/>
        <v>0</v>
      </c>
    </row>
    <row r="207" spans="1:7" ht="12.75" customHeight="1" x14ac:dyDescent="0.2">
      <c r="A207" s="812" t="s">
        <v>7</v>
      </c>
      <c r="B207" s="814"/>
      <c r="C207" s="587">
        <v>0</v>
      </c>
      <c r="D207" s="587"/>
      <c r="E207" s="584"/>
      <c r="F207" s="53"/>
      <c r="G207" s="726">
        <f t="shared" si="11"/>
        <v>0</v>
      </c>
    </row>
    <row r="208" spans="1:7" ht="12.75" customHeight="1" x14ac:dyDescent="0.2">
      <c r="A208" s="812" t="s">
        <v>8</v>
      </c>
      <c r="B208" s="814"/>
      <c r="C208" s="587">
        <v>0</v>
      </c>
      <c r="D208" s="587"/>
      <c r="E208" s="584"/>
      <c r="F208" s="53"/>
      <c r="G208" s="726">
        <f t="shared" si="11"/>
        <v>0</v>
      </c>
    </row>
    <row r="209" spans="1:7" x14ac:dyDescent="0.2">
      <c r="A209" s="812" t="s">
        <v>9</v>
      </c>
      <c r="B209" s="814"/>
      <c r="C209" s="587">
        <v>0</v>
      </c>
      <c r="D209" s="587"/>
      <c r="E209" s="584"/>
      <c r="F209" s="53"/>
      <c r="G209" s="726">
        <f t="shared" si="11"/>
        <v>0</v>
      </c>
    </row>
    <row r="210" spans="1:7" x14ac:dyDescent="0.2">
      <c r="A210" s="812" t="s">
        <v>10</v>
      </c>
      <c r="B210" s="814"/>
      <c r="C210" s="587">
        <v>0</v>
      </c>
      <c r="D210" s="587"/>
      <c r="E210" s="584"/>
      <c r="F210" s="53"/>
      <c r="G210" s="726">
        <f t="shared" si="11"/>
        <v>0</v>
      </c>
    </row>
    <row r="211" spans="1:7" x14ac:dyDescent="0.2">
      <c r="A211" s="831" t="s">
        <v>16</v>
      </c>
      <c r="B211" s="814"/>
      <c r="C211" s="587">
        <v>0</v>
      </c>
      <c r="D211" s="587"/>
      <c r="E211" s="584"/>
      <c r="F211" s="53"/>
      <c r="G211" s="726">
        <f>C211+D211-E211-F211</f>
        <v>0</v>
      </c>
    </row>
    <row r="212" spans="1:7" x14ac:dyDescent="0.2">
      <c r="A212" s="831" t="s">
        <v>17</v>
      </c>
      <c r="B212" s="814"/>
      <c r="C212" s="587">
        <v>146268.5</v>
      </c>
      <c r="D212" s="587"/>
      <c r="E212" s="584"/>
      <c r="F212" s="53"/>
      <c r="G212" s="726">
        <f>C212+D212-E212-F212</f>
        <v>146268.5</v>
      </c>
    </row>
    <row r="213" spans="1:7" ht="27.75" customHeight="1" x14ac:dyDescent="0.2">
      <c r="A213" s="830" t="s">
        <v>18</v>
      </c>
      <c r="B213" s="814"/>
      <c r="C213" s="587">
        <v>0</v>
      </c>
      <c r="D213" s="587"/>
      <c r="E213" s="584"/>
      <c r="F213" s="53"/>
      <c r="G213" s="726">
        <f t="shared" si="11"/>
        <v>0</v>
      </c>
    </row>
    <row r="214" spans="1:7" ht="26.25" customHeight="1" x14ac:dyDescent="0.2">
      <c r="A214" s="830" t="s">
        <v>19</v>
      </c>
      <c r="B214" s="814"/>
      <c r="C214" s="587">
        <v>0</v>
      </c>
      <c r="D214" s="587"/>
      <c r="E214" s="584"/>
      <c r="F214" s="53"/>
      <c r="G214" s="726">
        <f t="shared" si="11"/>
        <v>0</v>
      </c>
    </row>
    <row r="215" spans="1:7" x14ac:dyDescent="0.2">
      <c r="A215" s="831" t="s">
        <v>379</v>
      </c>
      <c r="B215" s="814"/>
      <c r="C215" s="587">
        <v>0</v>
      </c>
      <c r="D215" s="587"/>
      <c r="E215" s="584"/>
      <c r="F215" s="53"/>
      <c r="G215" s="726">
        <f t="shared" si="11"/>
        <v>0</v>
      </c>
    </row>
    <row r="216" spans="1:7" x14ac:dyDescent="0.2">
      <c r="A216" s="831" t="s">
        <v>20</v>
      </c>
      <c r="B216" s="814"/>
      <c r="C216" s="587">
        <v>0</v>
      </c>
      <c r="D216" s="587"/>
      <c r="E216" s="584"/>
      <c r="F216" s="53"/>
      <c r="G216" s="726">
        <f t="shared" si="11"/>
        <v>0</v>
      </c>
    </row>
    <row r="217" spans="1:7" ht="13.5" thickBot="1" x14ac:dyDescent="0.25">
      <c r="A217" s="854" t="s">
        <v>290</v>
      </c>
      <c r="B217" s="863"/>
      <c r="C217" s="588">
        <v>1443750</v>
      </c>
      <c r="D217" s="588"/>
      <c r="E217" s="585"/>
      <c r="F217" s="54"/>
      <c r="G217" s="727">
        <f t="shared" si="11"/>
        <v>1443750</v>
      </c>
    </row>
    <row r="218" spans="1:7" ht="13.5" thickBot="1" x14ac:dyDescent="0.25">
      <c r="A218" s="808" t="s">
        <v>33</v>
      </c>
      <c r="B218" s="946"/>
      <c r="C218" s="728">
        <f>SUM(C188:C197)</f>
        <v>4750664.9800000004</v>
      </c>
      <c r="D218" s="728">
        <f>SUM(D188:D197)</f>
        <v>9186</v>
      </c>
      <c r="E218" s="728">
        <f>SUM(E188:E197)</f>
        <v>0</v>
      </c>
      <c r="F218" s="729">
        <f>SUM(F188:F197)</f>
        <v>408641.48</v>
      </c>
      <c r="G218" s="730">
        <f>SUM(G188:G197)</f>
        <v>4351209.5</v>
      </c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113"/>
      <c r="B220" s="113"/>
      <c r="C220" s="113"/>
      <c r="D220" s="113"/>
      <c r="E220" s="113"/>
      <c r="F220" s="113"/>
      <c r="G220" s="113"/>
    </row>
    <row r="221" spans="1:7" ht="15" x14ac:dyDescent="0.2">
      <c r="A221" s="843" t="s">
        <v>395</v>
      </c>
      <c r="B221" s="843"/>
      <c r="C221" s="843"/>
      <c r="D221" s="951"/>
      <c r="E221" s="913"/>
    </row>
    <row r="222" spans="1:7" ht="13.5" thickBot="1" x14ac:dyDescent="0.25">
      <c r="A222" s="1"/>
      <c r="B222" s="1"/>
      <c r="C222" s="1"/>
    </row>
    <row r="223" spans="1:7" ht="13.5" thickBot="1" x14ac:dyDescent="0.25">
      <c r="A223" s="808" t="s">
        <v>111</v>
      </c>
      <c r="B223" s="809"/>
      <c r="C223" s="476" t="s">
        <v>185</v>
      </c>
      <c r="D223" s="56" t="s">
        <v>186</v>
      </c>
    </row>
    <row r="224" spans="1:7" ht="13.5" thickBot="1" x14ac:dyDescent="0.25">
      <c r="A224" s="808" t="s">
        <v>339</v>
      </c>
      <c r="B224" s="809"/>
      <c r="C224" s="57">
        <f>SUM(C225:C227)</f>
        <v>0</v>
      </c>
      <c r="D224" s="57">
        <f>SUM(D225:D227)</f>
        <v>0</v>
      </c>
    </row>
    <row r="225" spans="1:4" x14ac:dyDescent="0.2">
      <c r="A225" s="810" t="s">
        <v>291</v>
      </c>
      <c r="B225" s="811"/>
      <c r="C225" s="589"/>
      <c r="D225" s="590"/>
    </row>
    <row r="226" spans="1:4" x14ac:dyDescent="0.2">
      <c r="A226" s="812" t="s">
        <v>292</v>
      </c>
      <c r="B226" s="813"/>
      <c r="C226" s="591"/>
      <c r="D226" s="466"/>
    </row>
    <row r="227" spans="1:4" ht="13.5" thickBot="1" x14ac:dyDescent="0.25">
      <c r="A227" s="854" t="s">
        <v>293</v>
      </c>
      <c r="B227" s="856"/>
      <c r="C227" s="591"/>
      <c r="D227" s="466"/>
    </row>
    <row r="228" spans="1:4" ht="26.25" customHeight="1" thickBot="1" x14ac:dyDescent="0.25">
      <c r="A228" s="808" t="s">
        <v>340</v>
      </c>
      <c r="B228" s="809"/>
      <c r="C228" s="58">
        <f>SUM(C229:C231)</f>
        <v>0</v>
      </c>
      <c r="D228" s="57">
        <f>SUM(D229:D231)</f>
        <v>0</v>
      </c>
    </row>
    <row r="229" spans="1:4" x14ac:dyDescent="0.2">
      <c r="A229" s="810" t="s">
        <v>291</v>
      </c>
      <c r="B229" s="811"/>
      <c r="C229" s="589"/>
      <c r="D229" s="590"/>
    </row>
    <row r="230" spans="1:4" x14ac:dyDescent="0.2">
      <c r="A230" s="812" t="s">
        <v>292</v>
      </c>
      <c r="B230" s="813"/>
      <c r="C230" s="591"/>
      <c r="D230" s="466"/>
    </row>
    <row r="231" spans="1:4" ht="13.5" thickBot="1" x14ac:dyDescent="0.25">
      <c r="A231" s="854" t="s">
        <v>293</v>
      </c>
      <c r="B231" s="856"/>
      <c r="C231" s="591"/>
      <c r="D231" s="466"/>
    </row>
    <row r="232" spans="1:4" ht="26.25" customHeight="1" thickBot="1" x14ac:dyDescent="0.25">
      <c r="A232" s="808" t="s">
        <v>341</v>
      </c>
      <c r="B232" s="809"/>
      <c r="C232" s="58">
        <f>SUM(C233:C235)</f>
        <v>0</v>
      </c>
      <c r="D232" s="592">
        <f>SUM(D233:D235)</f>
        <v>0</v>
      </c>
    </row>
    <row r="233" spans="1:4" x14ac:dyDescent="0.2">
      <c r="A233" s="810" t="s">
        <v>291</v>
      </c>
      <c r="B233" s="811"/>
      <c r="C233" s="589"/>
      <c r="D233" s="590"/>
    </row>
    <row r="234" spans="1:4" x14ac:dyDescent="0.2">
      <c r="A234" s="812" t="s">
        <v>292</v>
      </c>
      <c r="B234" s="813"/>
      <c r="C234" s="591"/>
      <c r="D234" s="466"/>
    </row>
    <row r="235" spans="1:4" ht="13.5" thickBot="1" x14ac:dyDescent="0.25">
      <c r="A235" s="854" t="s">
        <v>293</v>
      </c>
      <c r="B235" s="856"/>
      <c r="C235" s="591"/>
      <c r="D235" s="466"/>
    </row>
    <row r="236" spans="1:4" ht="13.5" thickBot="1" x14ac:dyDescent="0.25">
      <c r="A236" s="808" t="s">
        <v>21</v>
      </c>
      <c r="B236" s="809"/>
      <c r="C236" s="593">
        <f>C228+C232+C224</f>
        <v>0</v>
      </c>
      <c r="D236" s="593">
        <f>D228+D232+D224</f>
        <v>0</v>
      </c>
    </row>
    <row r="239" spans="1:4" ht="60.75" customHeight="1" x14ac:dyDescent="0.2">
      <c r="A239" s="843" t="s">
        <v>388</v>
      </c>
      <c r="B239" s="843"/>
      <c r="C239" s="843"/>
      <c r="D239" s="913"/>
    </row>
    <row r="240" spans="1:4" ht="13.5" thickBot="1" x14ac:dyDescent="0.25">
      <c r="A240" s="594"/>
      <c r="B240" s="594"/>
      <c r="C240" s="594"/>
    </row>
    <row r="241" spans="1:5" ht="13.5" thickBot="1" x14ac:dyDescent="0.25">
      <c r="A241" s="840" t="s">
        <v>84</v>
      </c>
      <c r="B241" s="953"/>
      <c r="C241" s="25" t="s">
        <v>267</v>
      </c>
      <c r="D241" s="61" t="s">
        <v>294</v>
      </c>
    </row>
    <row r="242" spans="1:5" ht="25.5" customHeight="1" x14ac:dyDescent="0.2">
      <c r="A242" s="870" t="s">
        <v>295</v>
      </c>
      <c r="B242" s="871"/>
      <c r="C242" s="85"/>
      <c r="D242" s="86"/>
    </row>
    <row r="243" spans="1:5" ht="26.25" customHeight="1" thickBot="1" x14ac:dyDescent="0.25">
      <c r="A243" s="934" t="s">
        <v>296</v>
      </c>
      <c r="B243" s="935"/>
      <c r="C243" s="595"/>
      <c r="D243" s="88"/>
    </row>
    <row r="244" spans="1:5" ht="13.5" thickBot="1" x14ac:dyDescent="0.25">
      <c r="A244" s="864" t="s">
        <v>33</v>
      </c>
      <c r="B244" s="865"/>
      <c r="C244" s="596">
        <f>SUM(C242:C243)</f>
        <v>0</v>
      </c>
      <c r="D244" s="57">
        <f>SUM(D242:D243)</f>
        <v>0</v>
      </c>
    </row>
    <row r="250" spans="1:5" ht="15" x14ac:dyDescent="0.2">
      <c r="A250" s="843" t="s">
        <v>349</v>
      </c>
      <c r="B250" s="843"/>
      <c r="C250" s="843"/>
      <c r="D250" s="843"/>
      <c r="E250" s="843"/>
    </row>
    <row r="251" spans="1:5" ht="13.5" thickBot="1" x14ac:dyDescent="0.25"/>
    <row r="252" spans="1:5" ht="26.25" thickBot="1" x14ac:dyDescent="0.25">
      <c r="A252" s="61" t="s">
        <v>297</v>
      </c>
      <c r="B252" s="857" t="s">
        <v>106</v>
      </c>
      <c r="C252" s="943"/>
      <c r="D252" s="857" t="s">
        <v>298</v>
      </c>
      <c r="E252" s="943"/>
    </row>
    <row r="253" spans="1:5" ht="13.5" thickBot="1" x14ac:dyDescent="0.25">
      <c r="A253" s="597"/>
      <c r="B253" s="62" t="s">
        <v>300</v>
      </c>
      <c r="C253" s="62" t="s">
        <v>301</v>
      </c>
      <c r="D253" s="25" t="s">
        <v>302</v>
      </c>
      <c r="E253" s="62" t="s">
        <v>303</v>
      </c>
    </row>
    <row r="254" spans="1:5" ht="13.5" thickBot="1" x14ac:dyDescent="0.25">
      <c r="A254" s="63" t="s">
        <v>299</v>
      </c>
      <c r="B254" s="857"/>
      <c r="C254" s="861"/>
      <c r="D254" s="861"/>
      <c r="E254" s="841"/>
    </row>
    <row r="255" spans="1:5" x14ac:dyDescent="0.2">
      <c r="A255" s="598" t="s">
        <v>304</v>
      </c>
      <c r="B255" s="599"/>
      <c r="C255" s="599"/>
      <c r="D255" s="600"/>
      <c r="E255" s="599"/>
    </row>
    <row r="256" spans="1:5" ht="25.5" x14ac:dyDescent="0.2">
      <c r="A256" s="598" t="s">
        <v>305</v>
      </c>
      <c r="B256" s="599"/>
      <c r="C256" s="599"/>
      <c r="D256" s="600"/>
      <c r="E256" s="599"/>
    </row>
    <row r="257" spans="1:5" x14ac:dyDescent="0.2">
      <c r="A257" s="598" t="s">
        <v>306</v>
      </c>
      <c r="B257" s="599"/>
      <c r="C257" s="599"/>
      <c r="D257" s="600"/>
      <c r="E257" s="599"/>
    </row>
    <row r="258" spans="1:5" x14ac:dyDescent="0.2">
      <c r="A258" s="598" t="s">
        <v>389</v>
      </c>
      <c r="B258" s="556">
        <f>SUM(B259:B260)</f>
        <v>0</v>
      </c>
      <c r="C258" s="556">
        <f>SUM(C259:C260)</f>
        <v>0</v>
      </c>
      <c r="D258" s="556">
        <f>SUM(D259:D260)</f>
        <v>0</v>
      </c>
      <c r="E258" s="556">
        <f>SUM(E259:E260)</f>
        <v>0</v>
      </c>
    </row>
    <row r="259" spans="1:5" x14ac:dyDescent="0.2">
      <c r="A259" s="601" t="s">
        <v>64</v>
      </c>
      <c r="B259" s="556"/>
      <c r="C259" s="556"/>
      <c r="D259" s="555"/>
      <c r="E259" s="556"/>
    </row>
    <row r="260" spans="1:5" ht="13.5" thickBot="1" x14ac:dyDescent="0.25">
      <c r="A260" s="602" t="s">
        <v>64</v>
      </c>
      <c r="B260" s="603"/>
      <c r="C260" s="603"/>
      <c r="E260" s="603"/>
    </row>
    <row r="261" spans="1:5" ht="13.5" thickBot="1" x14ac:dyDescent="0.25">
      <c r="A261" s="484" t="s">
        <v>33</v>
      </c>
      <c r="B261" s="564">
        <f>SUM(B255:B258)</f>
        <v>0</v>
      </c>
      <c r="C261" s="564">
        <f>SUM(C255:C258)</f>
        <v>0</v>
      </c>
      <c r="D261" s="564">
        <f>SUM(D255:D258)</f>
        <v>0</v>
      </c>
      <c r="E261" s="564">
        <f>SUM(E255:E258)</f>
        <v>0</v>
      </c>
    </row>
    <row r="262" spans="1:5" ht="13.5" thickBot="1" x14ac:dyDescent="0.25">
      <c r="A262" s="63" t="s">
        <v>307</v>
      </c>
      <c r="B262" s="857"/>
      <c r="C262" s="861"/>
      <c r="D262" s="861"/>
      <c r="E262" s="841"/>
    </row>
    <row r="263" spans="1:5" x14ac:dyDescent="0.2">
      <c r="A263" s="598" t="s">
        <v>304</v>
      </c>
      <c r="B263" s="599"/>
      <c r="C263" s="599"/>
      <c r="D263" s="600"/>
      <c r="E263" s="599"/>
    </row>
    <row r="264" spans="1:5" ht="25.5" x14ac:dyDescent="0.2">
      <c r="A264" s="598" t="s">
        <v>305</v>
      </c>
      <c r="B264" s="599"/>
      <c r="C264" s="599"/>
      <c r="D264" s="600"/>
      <c r="E264" s="599"/>
    </row>
    <row r="265" spans="1:5" x14ac:dyDescent="0.2">
      <c r="A265" s="598" t="s">
        <v>306</v>
      </c>
      <c r="B265" s="599"/>
      <c r="C265" s="599"/>
      <c r="D265" s="600"/>
      <c r="E265" s="599"/>
    </row>
    <row r="266" spans="1:5" x14ac:dyDescent="0.2">
      <c r="A266" s="598" t="s">
        <v>389</v>
      </c>
      <c r="B266" s="556">
        <f>SUM(B267:B268)</f>
        <v>0</v>
      </c>
      <c r="C266" s="556">
        <f>SUM(C267:C268)</f>
        <v>0</v>
      </c>
      <c r="D266" s="556">
        <f>SUM(D267:D268)</f>
        <v>0</v>
      </c>
      <c r="E266" s="556">
        <f>SUM(E267:E268)</f>
        <v>0</v>
      </c>
    </row>
    <row r="267" spans="1:5" x14ac:dyDescent="0.2">
      <c r="A267" s="601" t="s">
        <v>64</v>
      </c>
      <c r="B267" s="556"/>
      <c r="C267" s="556"/>
      <c r="D267" s="555"/>
      <c r="E267" s="556"/>
    </row>
    <row r="268" spans="1:5" ht="13.5" thickBot="1" x14ac:dyDescent="0.25">
      <c r="A268" s="602" t="s">
        <v>64</v>
      </c>
      <c r="B268" s="603"/>
      <c r="C268" s="603"/>
      <c r="E268" s="603"/>
    </row>
    <row r="269" spans="1:5" ht="13.5" thickBot="1" x14ac:dyDescent="0.25">
      <c r="A269" s="604" t="s">
        <v>33</v>
      </c>
      <c r="B269" s="564">
        <f>SUM(B263:B266)</f>
        <v>0</v>
      </c>
      <c r="C269" s="564">
        <f>SUM(C263:C266)</f>
        <v>0</v>
      </c>
      <c r="D269" s="564">
        <f>SUM(D263:D266)</f>
        <v>0</v>
      </c>
      <c r="E269" s="564">
        <f>SUM(E263:E266)</f>
        <v>0</v>
      </c>
    </row>
    <row r="273" spans="1:7" ht="29.25" customHeight="1" x14ac:dyDescent="0.2">
      <c r="A273" s="843" t="s">
        <v>348</v>
      </c>
      <c r="B273" s="843"/>
      <c r="C273" s="843"/>
      <c r="D273" s="843"/>
      <c r="E273" s="843"/>
    </row>
    <row r="274" spans="1:7" ht="13.5" thickBot="1" x14ac:dyDescent="0.25">
      <c r="A274" s="605"/>
    </row>
    <row r="275" spans="1:7" ht="64.5" thickBot="1" x14ac:dyDescent="0.25">
      <c r="A275" s="866" t="s">
        <v>187</v>
      </c>
      <c r="B275" s="867"/>
      <c r="C275" s="25" t="s">
        <v>267</v>
      </c>
      <c r="D275" s="61" t="s">
        <v>186</v>
      </c>
      <c r="E275" s="61" t="s">
        <v>371</v>
      </c>
      <c r="G275" s="114"/>
    </row>
    <row r="276" spans="1:7" ht="25.5" customHeight="1" x14ac:dyDescent="0.2">
      <c r="A276" s="947" t="s">
        <v>117</v>
      </c>
      <c r="B276" s="948"/>
      <c r="C276" s="606"/>
      <c r="D276" s="607"/>
      <c r="E276" s="607"/>
      <c r="G276" s="114"/>
    </row>
    <row r="277" spans="1:7" x14ac:dyDescent="0.2">
      <c r="A277" s="872" t="s">
        <v>610</v>
      </c>
      <c r="B277" s="873"/>
      <c r="C277" s="608"/>
      <c r="D277" s="466"/>
      <c r="E277" s="466"/>
      <c r="G277" s="114"/>
    </row>
    <row r="278" spans="1:7" ht="12.75" customHeight="1" x14ac:dyDescent="0.2">
      <c r="A278" s="836" t="s">
        <v>253</v>
      </c>
      <c r="B278" s="837"/>
      <c r="C278" s="608"/>
      <c r="D278" s="466"/>
      <c r="E278" s="466"/>
      <c r="G278" s="115"/>
    </row>
    <row r="279" spans="1:7" x14ac:dyDescent="0.2">
      <c r="A279" s="949" t="s">
        <v>118</v>
      </c>
      <c r="B279" s="950"/>
      <c r="C279" s="608"/>
      <c r="D279" s="466"/>
      <c r="E279" s="466"/>
      <c r="G279" s="114"/>
    </row>
    <row r="280" spans="1:7" x14ac:dyDescent="0.2">
      <c r="A280" s="872" t="s">
        <v>368</v>
      </c>
      <c r="B280" s="873"/>
      <c r="C280" s="609"/>
      <c r="D280" s="610"/>
      <c r="E280" s="610"/>
      <c r="G280" s="114"/>
    </row>
    <row r="281" spans="1:7" x14ac:dyDescent="0.2">
      <c r="A281" s="872" t="s">
        <v>369</v>
      </c>
      <c r="B281" s="873"/>
      <c r="C281" s="609"/>
      <c r="D281" s="610"/>
      <c r="E281" s="610"/>
      <c r="G281" s="114"/>
    </row>
    <row r="282" spans="1:7" x14ac:dyDescent="0.2">
      <c r="A282" s="872" t="s">
        <v>370</v>
      </c>
      <c r="B282" s="873"/>
      <c r="C282" s="611"/>
      <c r="D282" s="610"/>
      <c r="E282" s="610"/>
      <c r="G282" s="114"/>
    </row>
    <row r="283" spans="1:7" x14ac:dyDescent="0.2">
      <c r="A283" s="872" t="s">
        <v>119</v>
      </c>
      <c r="B283" s="873"/>
      <c r="C283" s="463"/>
      <c r="D283" s="466"/>
      <c r="E283" s="466"/>
    </row>
    <row r="284" spans="1:7" ht="13.5" thickBot="1" x14ac:dyDescent="0.25">
      <c r="A284" s="868" t="s">
        <v>37</v>
      </c>
      <c r="B284" s="869"/>
      <c r="C284" s="612"/>
      <c r="D284" s="613"/>
      <c r="E284" s="613"/>
    </row>
    <row r="285" spans="1:7" ht="13.5" thickBot="1" x14ac:dyDescent="0.25">
      <c r="A285" s="874" t="s">
        <v>142</v>
      </c>
      <c r="B285" s="875"/>
      <c r="C285" s="614">
        <f>C276+C277+C279+C283+C280+C281+C282+C284</f>
        <v>0</v>
      </c>
      <c r="D285" s="614">
        <f>D276+D277+D279+D283+D280+D281+D282+D284</f>
        <v>0</v>
      </c>
      <c r="E285" s="615"/>
    </row>
    <row r="286" spans="1:7" ht="15" x14ac:dyDescent="0.2">
      <c r="A286" s="928" t="s">
        <v>347</v>
      </c>
      <c r="B286" s="928"/>
      <c r="C286" s="928"/>
      <c r="D286" s="928"/>
    </row>
    <row r="287" spans="1:7" ht="13.5" thickBot="1" x14ac:dyDescent="0.25">
      <c r="A287" s="580"/>
      <c r="B287" s="571"/>
      <c r="C287" s="571"/>
      <c r="D287" s="571"/>
    </row>
    <row r="288" spans="1:7" ht="13.5" thickBot="1" x14ac:dyDescent="0.25">
      <c r="A288" s="940" t="s">
        <v>398</v>
      </c>
      <c r="B288" s="941"/>
      <c r="C288" s="477" t="s">
        <v>267</v>
      </c>
      <c r="D288" s="443" t="s">
        <v>294</v>
      </c>
    </row>
    <row r="289" spans="1:4" ht="32.25" customHeight="1" thickBot="1" x14ac:dyDescent="0.25">
      <c r="A289" s="942" t="s">
        <v>248</v>
      </c>
      <c r="B289" s="943"/>
      <c r="C289" s="616"/>
      <c r="D289" s="617"/>
    </row>
    <row r="290" spans="1:4" ht="13.5" thickBot="1" x14ac:dyDescent="0.25">
      <c r="A290" s="942" t="s">
        <v>249</v>
      </c>
      <c r="B290" s="943"/>
      <c r="C290" s="616"/>
      <c r="D290" s="617"/>
    </row>
    <row r="291" spans="1:4" ht="13.5" thickBot="1" x14ac:dyDescent="0.25">
      <c r="A291" s="942" t="s">
        <v>250</v>
      </c>
      <c r="B291" s="943"/>
      <c r="C291" s="616"/>
      <c r="D291" s="617"/>
    </row>
    <row r="292" spans="1:4" ht="25.5" customHeight="1" thickBot="1" x14ac:dyDescent="0.25">
      <c r="A292" s="942" t="s">
        <v>407</v>
      </c>
      <c r="B292" s="943"/>
      <c r="C292" s="616"/>
      <c r="D292" s="617"/>
    </row>
    <row r="293" spans="1:4" ht="27" customHeight="1" thickBot="1" x14ac:dyDescent="0.25">
      <c r="A293" s="942" t="s">
        <v>251</v>
      </c>
      <c r="B293" s="943"/>
      <c r="C293" s="616"/>
      <c r="D293" s="617"/>
    </row>
    <row r="294" spans="1:4" ht="13.5" thickBot="1" x14ac:dyDescent="0.25">
      <c r="A294" s="942" t="s">
        <v>252</v>
      </c>
      <c r="B294" s="943"/>
      <c r="C294" s="616"/>
      <c r="D294" s="617"/>
    </row>
    <row r="295" spans="1:4" ht="29.25" customHeight="1" thickBot="1" x14ac:dyDescent="0.25">
      <c r="A295" s="942" t="s">
        <v>611</v>
      </c>
      <c r="B295" s="943"/>
      <c r="C295" s="616"/>
      <c r="D295" s="617"/>
    </row>
    <row r="296" spans="1:4" ht="25.5" customHeight="1" thickBot="1" x14ac:dyDescent="0.25">
      <c r="A296" s="942" t="s">
        <v>609</v>
      </c>
      <c r="B296" s="943"/>
      <c r="C296" s="616"/>
      <c r="D296" s="617"/>
    </row>
    <row r="297" spans="1:4" ht="13.5" thickBot="1" x14ac:dyDescent="0.25">
      <c r="A297" s="942" t="s">
        <v>408</v>
      </c>
      <c r="B297" s="943"/>
      <c r="C297" s="136">
        <f>SUM(C298:C317)</f>
        <v>0</v>
      </c>
      <c r="D297" s="132">
        <f>SUM(D298:D317)</f>
        <v>0</v>
      </c>
    </row>
    <row r="298" spans="1:4" ht="13.5" customHeight="1" x14ac:dyDescent="0.2">
      <c r="A298" s="936" t="s">
        <v>0</v>
      </c>
      <c r="B298" s="952"/>
      <c r="C298" s="618"/>
      <c r="D298" s="619"/>
    </row>
    <row r="299" spans="1:4" x14ac:dyDescent="0.2">
      <c r="A299" s="827" t="s">
        <v>23</v>
      </c>
      <c r="B299" s="814"/>
      <c r="C299" s="620"/>
      <c r="D299" s="619"/>
    </row>
    <row r="300" spans="1:4" x14ac:dyDescent="0.2">
      <c r="A300" s="812" t="s">
        <v>1</v>
      </c>
      <c r="B300" s="814"/>
      <c r="C300" s="620"/>
      <c r="D300" s="619"/>
    </row>
    <row r="301" spans="1:4" ht="39.75" customHeight="1" x14ac:dyDescent="0.2">
      <c r="A301" s="830" t="s">
        <v>425</v>
      </c>
      <c r="B301" s="814"/>
      <c r="C301" s="620"/>
      <c r="D301" s="619"/>
    </row>
    <row r="302" spans="1:4" x14ac:dyDescent="0.2">
      <c r="A302" s="812" t="s">
        <v>2</v>
      </c>
      <c r="B302" s="814"/>
      <c r="C302" s="620"/>
      <c r="D302" s="619"/>
    </row>
    <row r="303" spans="1:4" x14ac:dyDescent="0.2">
      <c r="A303" s="812" t="s">
        <v>3</v>
      </c>
      <c r="B303" s="814"/>
      <c r="C303" s="620"/>
      <c r="D303" s="619"/>
    </row>
    <row r="304" spans="1:4" x14ac:dyDescent="0.2">
      <c r="A304" s="812" t="s">
        <v>4</v>
      </c>
      <c r="B304" s="814"/>
      <c r="C304" s="620"/>
      <c r="D304" s="619"/>
    </row>
    <row r="305" spans="1:4" ht="26.25" customHeight="1" x14ac:dyDescent="0.2">
      <c r="A305" s="812" t="s">
        <v>5</v>
      </c>
      <c r="B305" s="814"/>
      <c r="C305" s="587"/>
      <c r="D305" s="621"/>
    </row>
    <row r="306" spans="1:4" x14ac:dyDescent="0.2">
      <c r="A306" s="812" t="s">
        <v>6</v>
      </c>
      <c r="B306" s="814"/>
      <c r="C306" s="587"/>
      <c r="D306" s="621"/>
    </row>
    <row r="307" spans="1:4" x14ac:dyDescent="0.2">
      <c r="A307" s="812" t="s">
        <v>7</v>
      </c>
      <c r="B307" s="814"/>
      <c r="C307" s="587"/>
      <c r="D307" s="621"/>
    </row>
    <row r="308" spans="1:4" x14ac:dyDescent="0.2">
      <c r="A308" s="812" t="s">
        <v>8</v>
      </c>
      <c r="B308" s="814"/>
      <c r="C308" s="587"/>
      <c r="D308" s="621"/>
    </row>
    <row r="309" spans="1:4" x14ac:dyDescent="0.2">
      <c r="A309" s="812" t="s">
        <v>9</v>
      </c>
      <c r="B309" s="814"/>
      <c r="C309" s="587"/>
      <c r="D309" s="621"/>
    </row>
    <row r="310" spans="1:4" x14ac:dyDescent="0.2">
      <c r="A310" s="812" t="s">
        <v>10</v>
      </c>
      <c r="B310" s="814"/>
      <c r="C310" s="587"/>
      <c r="D310" s="621"/>
    </row>
    <row r="311" spans="1:4" x14ac:dyDescent="0.2">
      <c r="A311" s="831" t="s">
        <v>16</v>
      </c>
      <c r="B311" s="814"/>
      <c r="C311" s="587"/>
      <c r="D311" s="621"/>
    </row>
    <row r="312" spans="1:4" x14ac:dyDescent="0.2">
      <c r="A312" s="831" t="s">
        <v>17</v>
      </c>
      <c r="B312" s="814"/>
      <c r="C312" s="587"/>
      <c r="D312" s="621"/>
    </row>
    <row r="313" spans="1:4" ht="27" customHeight="1" x14ac:dyDescent="0.2">
      <c r="A313" s="830" t="s">
        <v>18</v>
      </c>
      <c r="B313" s="814"/>
      <c r="C313" s="587"/>
      <c r="D313" s="621"/>
    </row>
    <row r="314" spans="1:4" ht="27" customHeight="1" x14ac:dyDescent="0.2">
      <c r="A314" s="830" t="s">
        <v>19</v>
      </c>
      <c r="B314" s="814"/>
      <c r="C314" s="587"/>
      <c r="D314" s="621"/>
    </row>
    <row r="315" spans="1:4" x14ac:dyDescent="0.2">
      <c r="A315" s="831" t="s">
        <v>379</v>
      </c>
      <c r="B315" s="814"/>
      <c r="C315" s="587"/>
      <c r="D315" s="621"/>
    </row>
    <row r="316" spans="1:4" x14ac:dyDescent="0.2">
      <c r="A316" s="831" t="s">
        <v>20</v>
      </c>
      <c r="B316" s="814"/>
      <c r="C316" s="587"/>
      <c r="D316" s="621"/>
    </row>
    <row r="317" spans="1:4" ht="13.5" thickBot="1" x14ac:dyDescent="0.25">
      <c r="A317" s="854" t="s">
        <v>290</v>
      </c>
      <c r="B317" s="863"/>
      <c r="C317" s="588"/>
      <c r="D317" s="621"/>
    </row>
    <row r="318" spans="1:4" ht="13.5" thickBot="1" x14ac:dyDescent="0.25">
      <c r="A318" s="808" t="s">
        <v>33</v>
      </c>
      <c r="B318" s="943"/>
      <c r="C318" s="592">
        <f>SUM(C289:C297)</f>
        <v>0</v>
      </c>
      <c r="D318" s="592">
        <f>SUM(D289:D297)</f>
        <v>0</v>
      </c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8" x14ac:dyDescent="0.2">
      <c r="A321" s="1050"/>
      <c r="B321" s="1051"/>
      <c r="C321" s="1051"/>
      <c r="D321" s="1"/>
    </row>
    <row r="324" spans="1:8" ht="15" x14ac:dyDescent="0.2">
      <c r="A324" s="928" t="s">
        <v>346</v>
      </c>
      <c r="B324" s="928"/>
      <c r="C324" s="928"/>
    </row>
    <row r="325" spans="1:8" ht="13.5" thickBot="1" x14ac:dyDescent="0.25">
      <c r="A325" s="622"/>
      <c r="B325" s="571"/>
      <c r="C325" s="571"/>
    </row>
    <row r="326" spans="1:8" ht="13.5" thickBot="1" x14ac:dyDescent="0.25">
      <c r="A326" s="808" t="s">
        <v>66</v>
      </c>
      <c r="B326" s="945"/>
      <c r="C326" s="66" t="s">
        <v>185</v>
      </c>
      <c r="D326" s="443" t="s">
        <v>186</v>
      </c>
      <c r="G326" s="944"/>
      <c r="H326" s="944"/>
    </row>
    <row r="327" spans="1:8" ht="13.5" thickBot="1" x14ac:dyDescent="0.25">
      <c r="A327" s="849" t="s">
        <v>67</v>
      </c>
      <c r="B327" s="850"/>
      <c r="C327" s="614">
        <f>SUM(C328:C337)</f>
        <v>0</v>
      </c>
      <c r="D327" s="623">
        <f>SUM(D328:D337)</f>
        <v>0</v>
      </c>
      <c r="G327" s="944"/>
      <c r="H327" s="944"/>
    </row>
    <row r="328" spans="1:8" ht="55.5" customHeight="1" x14ac:dyDescent="0.2">
      <c r="A328" s="936" t="s">
        <v>380</v>
      </c>
      <c r="B328" s="937"/>
      <c r="C328" s="624"/>
      <c r="D328" s="625"/>
      <c r="G328" s="944"/>
      <c r="H328" s="944"/>
    </row>
    <row r="329" spans="1:8" x14ac:dyDescent="0.2">
      <c r="A329" s="832" t="s">
        <v>188</v>
      </c>
      <c r="B329" s="833"/>
      <c r="C329" s="626"/>
      <c r="D329" s="627"/>
    </row>
    <row r="330" spans="1:8" x14ac:dyDescent="0.2">
      <c r="A330" s="832" t="s">
        <v>68</v>
      </c>
      <c r="B330" s="833"/>
      <c r="C330" s="608"/>
      <c r="D330" s="628"/>
    </row>
    <row r="331" spans="1:8" ht="28.5" customHeight="1" x14ac:dyDescent="0.2">
      <c r="A331" s="827" t="s">
        <v>612</v>
      </c>
      <c r="B331" s="862"/>
      <c r="C331" s="608"/>
      <c r="D331" s="628"/>
    </row>
    <row r="332" spans="1:8" ht="32.25" customHeight="1" x14ac:dyDescent="0.2">
      <c r="A332" s="827" t="s">
        <v>189</v>
      </c>
      <c r="B332" s="862"/>
      <c r="C332" s="608"/>
      <c r="D332" s="628"/>
    </row>
    <row r="333" spans="1:8" x14ac:dyDescent="0.2">
      <c r="A333" s="832" t="s">
        <v>190</v>
      </c>
      <c r="B333" s="833"/>
      <c r="C333" s="608"/>
      <c r="D333" s="628"/>
    </row>
    <row r="334" spans="1:8" x14ac:dyDescent="0.2">
      <c r="A334" s="832" t="s">
        <v>191</v>
      </c>
      <c r="B334" s="833"/>
      <c r="C334" s="608"/>
      <c r="D334" s="628"/>
    </row>
    <row r="335" spans="1:8" x14ac:dyDescent="0.2">
      <c r="A335" s="832" t="s">
        <v>69</v>
      </c>
      <c r="B335" s="833"/>
      <c r="C335" s="608"/>
      <c r="D335" s="628"/>
    </row>
    <row r="336" spans="1:8" x14ac:dyDescent="0.2">
      <c r="A336" s="832" t="s">
        <v>192</v>
      </c>
      <c r="B336" s="833"/>
      <c r="C336" s="608"/>
      <c r="D336" s="628"/>
    </row>
    <row r="337" spans="1:5" ht="13.5" thickBot="1" x14ac:dyDescent="0.25">
      <c r="A337" s="938" t="s">
        <v>37</v>
      </c>
      <c r="B337" s="939"/>
      <c r="C337" s="609"/>
      <c r="D337" s="629"/>
    </row>
    <row r="338" spans="1:5" ht="13.5" thickBot="1" x14ac:dyDescent="0.25">
      <c r="A338" s="849" t="s">
        <v>70</v>
      </c>
      <c r="B338" s="850"/>
      <c r="C338" s="615">
        <f>SUM(C339:C348)</f>
        <v>6806.88</v>
      </c>
      <c r="D338" s="615">
        <f>SUM(D339:D348)</f>
        <v>40197.85</v>
      </c>
    </row>
    <row r="339" spans="1:5" ht="59.25" customHeight="1" x14ac:dyDescent="0.2">
      <c r="A339" s="936" t="s">
        <v>380</v>
      </c>
      <c r="B339" s="937"/>
      <c r="C339" s="627"/>
      <c r="D339" s="627"/>
    </row>
    <row r="340" spans="1:5" x14ac:dyDescent="0.2">
      <c r="A340" s="832" t="s">
        <v>188</v>
      </c>
      <c r="B340" s="833"/>
      <c r="C340" s="627"/>
      <c r="D340" s="627"/>
    </row>
    <row r="341" spans="1:5" x14ac:dyDescent="0.2">
      <c r="A341" s="832" t="s">
        <v>68</v>
      </c>
      <c r="B341" s="833"/>
      <c r="C341" s="628"/>
      <c r="D341" s="628"/>
    </row>
    <row r="342" spans="1:5" ht="27.75" customHeight="1" x14ac:dyDescent="0.2">
      <c r="A342" s="827" t="s">
        <v>612</v>
      </c>
      <c r="B342" s="862"/>
      <c r="C342" s="628"/>
      <c r="D342" s="628"/>
      <c r="E342" s="630"/>
    </row>
    <row r="343" spans="1:5" ht="24.75" customHeight="1" x14ac:dyDescent="0.2">
      <c r="A343" s="827" t="s">
        <v>189</v>
      </c>
      <c r="B343" s="862"/>
      <c r="C343" s="628"/>
      <c r="D343" s="628"/>
    </row>
    <row r="344" spans="1:5" x14ac:dyDescent="0.2">
      <c r="A344" s="827" t="s">
        <v>190</v>
      </c>
      <c r="B344" s="862"/>
      <c r="C344" s="628"/>
      <c r="D344" s="628"/>
    </row>
    <row r="345" spans="1:5" x14ac:dyDescent="0.2">
      <c r="A345" s="832" t="s">
        <v>191</v>
      </c>
      <c r="B345" s="833"/>
      <c r="C345" s="628"/>
      <c r="D345" s="628"/>
    </row>
    <row r="346" spans="1:5" x14ac:dyDescent="0.2">
      <c r="A346" s="832" t="s">
        <v>193</v>
      </c>
      <c r="B346" s="833"/>
      <c r="C346" s="628">
        <v>3472</v>
      </c>
      <c r="D346" s="628">
        <v>4269.33</v>
      </c>
    </row>
    <row r="347" spans="1:5" x14ac:dyDescent="0.2">
      <c r="A347" s="832" t="s">
        <v>192</v>
      </c>
      <c r="B347" s="833"/>
      <c r="C347" s="628"/>
      <c r="D347" s="628"/>
    </row>
    <row r="348" spans="1:5" ht="13.5" thickBot="1" x14ac:dyDescent="0.25">
      <c r="A348" s="932" t="s">
        <v>426</v>
      </c>
      <c r="B348" s="933"/>
      <c r="C348" s="631">
        <v>3334.88</v>
      </c>
      <c r="D348" s="631">
        <v>35928.519999999997</v>
      </c>
    </row>
    <row r="349" spans="1:5" ht="13.5" thickBot="1" x14ac:dyDescent="0.25">
      <c r="A349" s="859" t="s">
        <v>108</v>
      </c>
      <c r="B349" s="860"/>
      <c r="C349" s="632">
        <f>C327+C338</f>
        <v>6806.88</v>
      </c>
      <c r="D349" s="633">
        <f>D327+D338</f>
        <v>40197.85</v>
      </c>
    </row>
    <row r="354" spans="1:5" ht="15" x14ac:dyDescent="0.25">
      <c r="A354" s="928" t="s">
        <v>345</v>
      </c>
      <c r="B354" s="928"/>
      <c r="C354" s="928"/>
      <c r="D354" s="929"/>
      <c r="E354" s="929"/>
    </row>
    <row r="355" spans="1:5" ht="13.5" thickBot="1" x14ac:dyDescent="0.25">
      <c r="A355" s="571"/>
      <c r="B355" s="571"/>
      <c r="C355" s="571"/>
      <c r="D355" s="1"/>
    </row>
    <row r="356" spans="1:5" ht="13.5" thickBot="1" x14ac:dyDescent="0.25">
      <c r="A356" s="828" t="s">
        <v>198</v>
      </c>
      <c r="B356" s="835"/>
      <c r="C356" s="475" t="s">
        <v>185</v>
      </c>
      <c r="D356" s="56" t="s">
        <v>294</v>
      </c>
    </row>
    <row r="357" spans="1:5" x14ac:dyDescent="0.2">
      <c r="A357" s="930" t="s">
        <v>11</v>
      </c>
      <c r="B357" s="931"/>
      <c r="C357" s="425">
        <f>SUM(C358:C364)</f>
        <v>2859485.55</v>
      </c>
      <c r="D357" s="425">
        <f>SUM(D358:D364)</f>
        <v>3222192</v>
      </c>
    </row>
    <row r="358" spans="1:5" x14ac:dyDescent="0.2">
      <c r="A358" s="905" t="s">
        <v>199</v>
      </c>
      <c r="B358" s="907"/>
      <c r="C358" s="426">
        <v>2834562.59</v>
      </c>
      <c r="D358" s="426">
        <v>3201343.58</v>
      </c>
    </row>
    <row r="359" spans="1:5" x14ac:dyDescent="0.2">
      <c r="A359" s="905" t="s">
        <v>200</v>
      </c>
      <c r="B359" s="907"/>
      <c r="C359" s="426"/>
      <c r="D359" s="426"/>
    </row>
    <row r="360" spans="1:5" ht="27.75" customHeight="1" x14ac:dyDescent="0.2">
      <c r="A360" s="812" t="s">
        <v>201</v>
      </c>
      <c r="B360" s="813"/>
      <c r="C360" s="426">
        <v>24922.959999999999</v>
      </c>
      <c r="D360" s="426">
        <v>20848.419999999998</v>
      </c>
    </row>
    <row r="361" spans="1:5" x14ac:dyDescent="0.2">
      <c r="A361" s="812" t="s">
        <v>202</v>
      </c>
      <c r="B361" s="813"/>
      <c r="C361" s="426"/>
      <c r="D361" s="426"/>
    </row>
    <row r="362" spans="1:5" x14ac:dyDescent="0.2">
      <c r="A362" s="812" t="s">
        <v>310</v>
      </c>
      <c r="B362" s="813"/>
      <c r="C362" s="426"/>
      <c r="D362" s="682"/>
    </row>
    <row r="363" spans="1:5" x14ac:dyDescent="0.2">
      <c r="A363" s="812" t="s">
        <v>12</v>
      </c>
      <c r="B363" s="813"/>
      <c r="C363" s="426"/>
      <c r="D363" s="682"/>
    </row>
    <row r="364" spans="1:5" x14ac:dyDescent="0.2">
      <c r="A364" s="812" t="s">
        <v>290</v>
      </c>
      <c r="B364" s="813"/>
      <c r="C364" s="426"/>
      <c r="D364" s="426"/>
    </row>
    <row r="365" spans="1:5" x14ac:dyDescent="0.2">
      <c r="A365" s="926" t="s">
        <v>203</v>
      </c>
      <c r="B365" s="927"/>
      <c r="C365" s="683">
        <f>C366+C367+C369</f>
        <v>0</v>
      </c>
      <c r="D365" s="683">
        <f>D366+D367+D369</f>
        <v>0</v>
      </c>
    </row>
    <row r="366" spans="1:5" x14ac:dyDescent="0.2">
      <c r="A366" s="832" t="s">
        <v>78</v>
      </c>
      <c r="B366" s="833"/>
      <c r="C366" s="684"/>
      <c r="D366" s="684"/>
    </row>
    <row r="367" spans="1:5" x14ac:dyDescent="0.2">
      <c r="A367" s="832" t="s">
        <v>204</v>
      </c>
      <c r="B367" s="833"/>
      <c r="C367" s="684"/>
      <c r="D367" s="684"/>
    </row>
    <row r="368" spans="1:5" x14ac:dyDescent="0.2">
      <c r="A368" s="845" t="s">
        <v>205</v>
      </c>
      <c r="B368" s="846"/>
      <c r="C368" s="684"/>
      <c r="D368" s="684"/>
    </row>
    <row r="369" spans="1:5" ht="13.5" thickBot="1" x14ac:dyDescent="0.25">
      <c r="A369" s="932" t="s">
        <v>290</v>
      </c>
      <c r="B369" s="933"/>
      <c r="C369" s="684"/>
      <c r="D369" s="684"/>
    </row>
    <row r="370" spans="1:5" ht="13.5" thickBot="1" x14ac:dyDescent="0.25">
      <c r="A370" s="859" t="s">
        <v>108</v>
      </c>
      <c r="B370" s="860"/>
      <c r="C370" s="635">
        <f>C357+C365</f>
        <v>2859485.55</v>
      </c>
      <c r="D370" s="635">
        <f>D357+D365</f>
        <v>3222192</v>
      </c>
    </row>
    <row r="373" spans="1:5" ht="26.25" customHeight="1" x14ac:dyDescent="0.2">
      <c r="A373" s="843" t="s">
        <v>372</v>
      </c>
      <c r="B373" s="844"/>
      <c r="C373" s="844"/>
      <c r="D373" s="844"/>
    </row>
    <row r="374" spans="1:5" ht="13.5" thickBot="1" x14ac:dyDescent="0.25">
      <c r="B374" s="605"/>
    </row>
    <row r="375" spans="1:5" ht="13.5" thickBot="1" x14ac:dyDescent="0.25">
      <c r="A375" s="1048"/>
      <c r="B375" s="1049"/>
      <c r="C375" s="478" t="s">
        <v>267</v>
      </c>
      <c r="D375" s="61" t="s">
        <v>186</v>
      </c>
    </row>
    <row r="376" spans="1:5" ht="13.5" thickBot="1" x14ac:dyDescent="0.25">
      <c r="A376" s="836" t="s">
        <v>259</v>
      </c>
      <c r="B376" s="837"/>
      <c r="C376" s="466">
        <f>3285619.74+1916414.81+7567297.2</f>
        <v>12769331.75</v>
      </c>
      <c r="D376" s="466">
        <f>15250336.81+1080622.51+7708512.58</f>
        <v>24039471.899999999</v>
      </c>
    </row>
    <row r="377" spans="1:5" ht="13.5" thickBot="1" x14ac:dyDescent="0.25">
      <c r="A377" s="849" t="s">
        <v>142</v>
      </c>
      <c r="B377" s="850"/>
      <c r="C377" s="615">
        <f>SUM(C376:C376)</f>
        <v>12769331.75</v>
      </c>
      <c r="D377" s="615">
        <f>SUM(D376:D376)</f>
        <v>24039471.899999999</v>
      </c>
    </row>
    <row r="380" spans="1:5" ht="14.45" customHeight="1" x14ac:dyDescent="0.2">
      <c r="A380" s="843" t="s">
        <v>344</v>
      </c>
      <c r="B380" s="843"/>
      <c r="C380" s="843"/>
      <c r="D380" s="843"/>
      <c r="E380" s="843"/>
    </row>
    <row r="381" spans="1:5" ht="13.5" thickBot="1" x14ac:dyDescent="0.25">
      <c r="E381" s="1"/>
    </row>
    <row r="382" spans="1:5" ht="26.25" thickBot="1" x14ac:dyDescent="0.25">
      <c r="A382" s="840" t="s">
        <v>111</v>
      </c>
      <c r="B382" s="841"/>
      <c r="C382" s="61" t="s">
        <v>308</v>
      </c>
      <c r="D382" s="61" t="s">
        <v>309</v>
      </c>
      <c r="E382" s="1"/>
    </row>
    <row r="383" spans="1:5" ht="13.5" thickBot="1" x14ac:dyDescent="0.25">
      <c r="A383" s="847" t="s">
        <v>396</v>
      </c>
      <c r="B383" s="848"/>
      <c r="C383" s="731">
        <v>978269.49</v>
      </c>
      <c r="D383" s="731">
        <v>796998.46</v>
      </c>
      <c r="E383" s="1"/>
    </row>
    <row r="384" spans="1:5" x14ac:dyDescent="0.2">
      <c r="A384" s="1"/>
      <c r="B384" s="1"/>
      <c r="C384" s="1"/>
      <c r="D384" s="1"/>
      <c r="E384" s="1"/>
    </row>
    <row r="385" spans="1:9" ht="29.25" customHeight="1" x14ac:dyDescent="0.2">
      <c r="A385" s="838" t="s">
        <v>394</v>
      </c>
      <c r="B385" s="838"/>
      <c r="C385" s="838"/>
      <c r="D385" s="839"/>
      <c r="E385" s="839"/>
    </row>
    <row r="390" spans="1:9" ht="15" x14ac:dyDescent="0.2">
      <c r="A390" s="842" t="s">
        <v>373</v>
      </c>
      <c r="B390" s="842"/>
      <c r="C390" s="842"/>
      <c r="D390" s="842"/>
      <c r="E390" s="842"/>
      <c r="F390" s="842"/>
      <c r="G390" s="842"/>
      <c r="H390" s="842"/>
      <c r="I390" s="842"/>
    </row>
    <row r="392" spans="1:9" ht="15" x14ac:dyDescent="0.2">
      <c r="A392" s="842" t="s">
        <v>343</v>
      </c>
      <c r="B392" s="842"/>
      <c r="C392" s="842"/>
      <c r="D392" s="842"/>
      <c r="E392" s="842"/>
      <c r="F392" s="842"/>
      <c r="G392" s="842"/>
      <c r="H392" s="842"/>
      <c r="I392" s="842"/>
    </row>
    <row r="393" spans="1:9" ht="13.5" thickBot="1" x14ac:dyDescent="0.25">
      <c r="A393" s="622"/>
      <c r="B393" s="622"/>
      <c r="C393" s="622"/>
      <c r="D393" s="622"/>
      <c r="E393" s="622"/>
      <c r="F393" s="116"/>
      <c r="G393" s="116"/>
      <c r="H393" s="116"/>
      <c r="I393" s="67"/>
    </row>
    <row r="394" spans="1:9" ht="26.25" thickBot="1" x14ac:dyDescent="0.25">
      <c r="A394" s="851" t="s">
        <v>105</v>
      </c>
      <c r="B394" s="828" t="s">
        <v>50</v>
      </c>
      <c r="C394" s="834"/>
      <c r="D394" s="835"/>
      <c r="E394" s="582" t="s">
        <v>132</v>
      </c>
      <c r="F394" s="828" t="s">
        <v>51</v>
      </c>
      <c r="G394" s="834"/>
      <c r="H394" s="835"/>
      <c r="I394" s="123" t="s">
        <v>156</v>
      </c>
    </row>
    <row r="395" spans="1:9" ht="64.5" thickBot="1" x14ac:dyDescent="0.25">
      <c r="A395" s="852"/>
      <c r="B395" s="636" t="s">
        <v>131</v>
      </c>
      <c r="C395" s="637" t="s">
        <v>116</v>
      </c>
      <c r="D395" s="638" t="s">
        <v>40</v>
      </c>
      <c r="E395" s="639" t="s">
        <v>257</v>
      </c>
      <c r="F395" s="68" t="s">
        <v>131</v>
      </c>
      <c r="G395" s="69" t="s">
        <v>133</v>
      </c>
      <c r="H395" s="70" t="s">
        <v>152</v>
      </c>
      <c r="I395" s="124"/>
    </row>
    <row r="396" spans="1:9" ht="26.25" thickBot="1" x14ac:dyDescent="0.25">
      <c r="A396" s="129" t="s">
        <v>613</v>
      </c>
      <c r="B396" s="133"/>
      <c r="C396" s="134"/>
      <c r="D396" s="135"/>
      <c r="E396" s="136"/>
      <c r="F396" s="71"/>
      <c r="G396" s="73"/>
      <c r="H396" s="72"/>
      <c r="I396" s="65">
        <f>SUM(B396:H396)</f>
        <v>0</v>
      </c>
    </row>
    <row r="397" spans="1:9" ht="13.5" thickBot="1" x14ac:dyDescent="0.25">
      <c r="A397" s="138" t="s">
        <v>52</v>
      </c>
      <c r="B397" s="640">
        <f t="shared" ref="B397:I397" si="12">SUM(B398:B400)</f>
        <v>0</v>
      </c>
      <c r="C397" s="641">
        <f t="shared" si="12"/>
        <v>0</v>
      </c>
      <c r="D397" s="642">
        <f t="shared" si="12"/>
        <v>0</v>
      </c>
      <c r="E397" s="138">
        <f t="shared" si="12"/>
        <v>0</v>
      </c>
      <c r="F397" s="75">
        <f t="shared" si="12"/>
        <v>0</v>
      </c>
      <c r="G397" s="75">
        <f t="shared" si="12"/>
        <v>0</v>
      </c>
      <c r="H397" s="74">
        <f t="shared" si="12"/>
        <v>0</v>
      </c>
      <c r="I397" s="74">
        <f t="shared" si="12"/>
        <v>0</v>
      </c>
    </row>
    <row r="398" spans="1:9" x14ac:dyDescent="0.2">
      <c r="A398" s="643" t="s">
        <v>53</v>
      </c>
      <c r="B398" s="644"/>
      <c r="C398" s="645"/>
      <c r="D398" s="646"/>
      <c r="E398" s="607"/>
      <c r="F398" s="139"/>
      <c r="G398" s="141"/>
      <c r="H398" s="140"/>
      <c r="I398" s="142">
        <f>SUM(B398:H398)</f>
        <v>0</v>
      </c>
    </row>
    <row r="399" spans="1:9" x14ac:dyDescent="0.2">
      <c r="A399" s="146" t="s">
        <v>54</v>
      </c>
      <c r="B399" s="647"/>
      <c r="C399" s="584"/>
      <c r="D399" s="648"/>
      <c r="E399" s="466"/>
      <c r="F399" s="143"/>
      <c r="G399" s="145"/>
      <c r="H399" s="144"/>
      <c r="I399" s="142">
        <f>SUM(B399:H399)</f>
        <v>0</v>
      </c>
    </row>
    <row r="400" spans="1:9" ht="13.5" thickBot="1" x14ac:dyDescent="0.25">
      <c r="A400" s="146" t="s">
        <v>55</v>
      </c>
      <c r="B400" s="647"/>
      <c r="C400" s="584"/>
      <c r="D400" s="648"/>
      <c r="E400" s="466"/>
      <c r="F400" s="143"/>
      <c r="G400" s="145"/>
      <c r="H400" s="144"/>
      <c r="I400" s="142">
        <f>SUM(B400:H400)</f>
        <v>0</v>
      </c>
    </row>
    <row r="401" spans="1:9" ht="13.5" thickBot="1" x14ac:dyDescent="0.25">
      <c r="A401" s="138" t="s">
        <v>56</v>
      </c>
      <c r="B401" s="133">
        <f t="shared" ref="B401:I401" si="13">SUM(B402:B405)</f>
        <v>0</v>
      </c>
      <c r="C401" s="134">
        <f t="shared" si="13"/>
        <v>0</v>
      </c>
      <c r="D401" s="137">
        <f t="shared" si="13"/>
        <v>0</v>
      </c>
      <c r="E401" s="136">
        <f t="shared" si="13"/>
        <v>0</v>
      </c>
      <c r="F401" s="71">
        <f t="shared" si="13"/>
        <v>0</v>
      </c>
      <c r="G401" s="71">
        <f t="shared" si="13"/>
        <v>0</v>
      </c>
      <c r="H401" s="65">
        <f t="shared" si="13"/>
        <v>0</v>
      </c>
      <c r="I401" s="65">
        <f t="shared" si="13"/>
        <v>0</v>
      </c>
    </row>
    <row r="402" spans="1:9" ht="13.5" customHeight="1" x14ac:dyDescent="0.2">
      <c r="A402" s="147" t="s">
        <v>57</v>
      </c>
      <c r="B402" s="647"/>
      <c r="C402" s="584"/>
      <c r="D402" s="648"/>
      <c r="E402" s="466"/>
      <c r="F402" s="143"/>
      <c r="G402" s="145"/>
      <c r="H402" s="144"/>
      <c r="I402" s="142">
        <f>SUM(B402:H402)</f>
        <v>0</v>
      </c>
    </row>
    <row r="403" spans="1:9" x14ac:dyDescent="0.2">
      <c r="A403" s="147" t="s">
        <v>58</v>
      </c>
      <c r="B403" s="647"/>
      <c r="C403" s="584"/>
      <c r="D403" s="648"/>
      <c r="E403" s="466"/>
      <c r="F403" s="143"/>
      <c r="G403" s="145"/>
      <c r="H403" s="144"/>
      <c r="I403" s="142">
        <f>SUM(B403:H403)</f>
        <v>0</v>
      </c>
    </row>
    <row r="404" spans="1:9" x14ac:dyDescent="0.2">
      <c r="A404" s="147" t="s">
        <v>59</v>
      </c>
      <c r="B404" s="647"/>
      <c r="C404" s="584"/>
      <c r="D404" s="648"/>
      <c r="E404" s="466"/>
      <c r="F404" s="143"/>
      <c r="G404" s="145"/>
      <c r="H404" s="144"/>
      <c r="I404" s="142">
        <f>SUM(B404:H404)</f>
        <v>0</v>
      </c>
    </row>
    <row r="405" spans="1:9" ht="13.5" thickBot="1" x14ac:dyDescent="0.25">
      <c r="A405" s="147" t="s">
        <v>60</v>
      </c>
      <c r="B405" s="647"/>
      <c r="C405" s="584"/>
      <c r="D405" s="648"/>
      <c r="E405" s="466"/>
      <c r="F405" s="143"/>
      <c r="G405" s="145"/>
      <c r="H405" s="144"/>
      <c r="I405" s="142">
        <f>SUM(B405:H405)</f>
        <v>0</v>
      </c>
    </row>
    <row r="406" spans="1:9" ht="26.25" customHeight="1" thickBot="1" x14ac:dyDescent="0.25">
      <c r="A406" s="130" t="s">
        <v>403</v>
      </c>
      <c r="B406" s="131">
        <f t="shared" ref="B406:I406" si="14">B396+B397-B401</f>
        <v>0</v>
      </c>
      <c r="C406" s="131">
        <f t="shared" si="14"/>
        <v>0</v>
      </c>
      <c r="D406" s="131">
        <f t="shared" si="14"/>
        <v>0</v>
      </c>
      <c r="E406" s="132">
        <f t="shared" si="14"/>
        <v>0</v>
      </c>
      <c r="F406" s="131">
        <f t="shared" si="14"/>
        <v>0</v>
      </c>
      <c r="G406" s="131">
        <f t="shared" si="14"/>
        <v>0</v>
      </c>
      <c r="H406" s="132">
        <f t="shared" si="14"/>
        <v>0</v>
      </c>
      <c r="I406" s="132">
        <f t="shared" si="14"/>
        <v>0</v>
      </c>
    </row>
    <row r="407" spans="1:9" ht="40.5" customHeight="1" thickBot="1" x14ac:dyDescent="0.25">
      <c r="A407" s="129" t="s">
        <v>404</v>
      </c>
      <c r="B407" s="133"/>
      <c r="C407" s="134"/>
      <c r="D407" s="135"/>
      <c r="E407" s="136"/>
      <c r="F407" s="133"/>
      <c r="G407" s="137"/>
      <c r="H407" s="135"/>
      <c r="I407" s="136">
        <f>SUM(B407:H407)</f>
        <v>0</v>
      </c>
    </row>
    <row r="408" spans="1:9" x14ac:dyDescent="0.2">
      <c r="A408" s="160" t="s">
        <v>52</v>
      </c>
      <c r="B408" s="156"/>
      <c r="C408" s="157"/>
      <c r="D408" s="158"/>
      <c r="E408" s="163"/>
      <c r="F408" s="156"/>
      <c r="G408" s="164"/>
      <c r="H408" s="158"/>
      <c r="I408" s="163">
        <f>SUM(B408:H408)</f>
        <v>0</v>
      </c>
    </row>
    <row r="409" spans="1:9" ht="13.5" thickBot="1" x14ac:dyDescent="0.25">
      <c r="A409" s="159" t="s">
        <v>56</v>
      </c>
      <c r="B409" s="153"/>
      <c r="C409" s="154"/>
      <c r="D409" s="155"/>
      <c r="E409" s="161"/>
      <c r="F409" s="153"/>
      <c r="G409" s="162"/>
      <c r="H409" s="155"/>
      <c r="I409" s="161">
        <f>SUM(B409:H409)</f>
        <v>0</v>
      </c>
    </row>
    <row r="410" spans="1:9" ht="41.25" customHeight="1" thickBot="1" x14ac:dyDescent="0.25">
      <c r="A410" s="138" t="s">
        <v>402</v>
      </c>
      <c r="B410" s="133">
        <f>B407+B408-B409</f>
        <v>0</v>
      </c>
      <c r="C410" s="134">
        <f t="shared" ref="C410:I410" si="15">C407+C408-C409</f>
        <v>0</v>
      </c>
      <c r="D410" s="135">
        <f t="shared" si="15"/>
        <v>0</v>
      </c>
      <c r="E410" s="136">
        <f t="shared" si="15"/>
        <v>0</v>
      </c>
      <c r="F410" s="133">
        <f t="shared" si="15"/>
        <v>0</v>
      </c>
      <c r="G410" s="137">
        <f t="shared" si="15"/>
        <v>0</v>
      </c>
      <c r="H410" s="135">
        <f t="shared" si="15"/>
        <v>0</v>
      </c>
      <c r="I410" s="136">
        <f t="shared" si="15"/>
        <v>0</v>
      </c>
    </row>
    <row r="411" spans="1:9" ht="26.25" customHeight="1" thickBot="1" x14ac:dyDescent="0.25">
      <c r="A411" s="127" t="s">
        <v>614</v>
      </c>
      <c r="B411" s="592">
        <f t="shared" ref="B411:I411" si="16">B396-B407</f>
        <v>0</v>
      </c>
      <c r="C411" s="592">
        <f t="shared" si="16"/>
        <v>0</v>
      </c>
      <c r="D411" s="592">
        <f t="shared" si="16"/>
        <v>0</v>
      </c>
      <c r="E411" s="592">
        <f t="shared" si="16"/>
        <v>0</v>
      </c>
      <c r="F411" s="59">
        <f t="shared" si="16"/>
        <v>0</v>
      </c>
      <c r="G411" s="59">
        <f t="shared" si="16"/>
        <v>0</v>
      </c>
      <c r="H411" s="59">
        <f t="shared" si="16"/>
        <v>0</v>
      </c>
      <c r="I411" s="59">
        <f t="shared" si="16"/>
        <v>0</v>
      </c>
    </row>
    <row r="412" spans="1:9" ht="26.25" customHeight="1" thickBot="1" x14ac:dyDescent="0.25">
      <c r="A412" s="152" t="s">
        <v>615</v>
      </c>
      <c r="B412" s="592">
        <f>B406-B410</f>
        <v>0</v>
      </c>
      <c r="C412" s="592">
        <f t="shared" ref="C412:I412" si="17">C406-C410</f>
        <v>0</v>
      </c>
      <c r="D412" s="592">
        <f t="shared" si="17"/>
        <v>0</v>
      </c>
      <c r="E412" s="592">
        <f t="shared" si="17"/>
        <v>0</v>
      </c>
      <c r="F412" s="59">
        <f t="shared" si="17"/>
        <v>0</v>
      </c>
      <c r="G412" s="59">
        <f t="shared" si="17"/>
        <v>0</v>
      </c>
      <c r="H412" s="59">
        <f t="shared" si="17"/>
        <v>0</v>
      </c>
      <c r="I412" s="59">
        <f t="shared" si="17"/>
        <v>0</v>
      </c>
    </row>
    <row r="413" spans="1:9" ht="26.25" customHeight="1" x14ac:dyDescent="0.2">
      <c r="A413" s="76"/>
      <c r="B413" s="649"/>
      <c r="C413" s="649"/>
      <c r="D413" s="649"/>
      <c r="E413" s="649"/>
      <c r="F413" s="77"/>
      <c r="G413" s="77"/>
      <c r="H413" s="77"/>
      <c r="I413" s="77"/>
    </row>
    <row r="415" spans="1:9" ht="15" x14ac:dyDescent="0.2">
      <c r="A415" s="843" t="s">
        <v>342</v>
      </c>
      <c r="B415" s="876"/>
      <c r="C415" s="876"/>
      <c r="F415" s="759"/>
      <c r="G415" s="759"/>
    </row>
    <row r="416" spans="1:9" ht="13.5" thickBot="1" x14ac:dyDescent="0.25">
      <c r="A416" s="571"/>
      <c r="B416" s="78"/>
      <c r="C416" s="78"/>
      <c r="E416" s="650"/>
      <c r="F416" s="760"/>
      <c r="G416" s="760"/>
      <c r="H416" s="80"/>
      <c r="I416" s="80"/>
    </row>
    <row r="417" spans="1:9" ht="13.5" thickBot="1" x14ac:dyDescent="0.25">
      <c r="A417" s="828" t="s">
        <v>134</v>
      </c>
      <c r="B417" s="835"/>
      <c r="C417" s="79" t="s">
        <v>185</v>
      </c>
      <c r="D417" s="443" t="s">
        <v>294</v>
      </c>
      <c r="F417" s="759"/>
      <c r="G417" s="759"/>
    </row>
    <row r="418" spans="1:9" x14ac:dyDescent="0.2">
      <c r="A418" s="914" t="s">
        <v>144</v>
      </c>
      <c r="B418" s="915"/>
      <c r="C418" s="163">
        <v>39.04</v>
      </c>
      <c r="D418" s="163">
        <v>2833.58</v>
      </c>
      <c r="E418" s="651"/>
      <c r="F418" s="759"/>
      <c r="G418" s="760"/>
      <c r="H418" s="80"/>
      <c r="I418" s="80"/>
    </row>
    <row r="419" spans="1:9" x14ac:dyDescent="0.2">
      <c r="A419" s="885" t="s">
        <v>145</v>
      </c>
      <c r="B419" s="886"/>
      <c r="C419" s="464">
        <v>62565.75</v>
      </c>
      <c r="D419" s="464">
        <v>40676.019999999997</v>
      </c>
      <c r="E419" s="651"/>
      <c r="F419" s="759"/>
      <c r="G419" s="761"/>
      <c r="H419" s="81"/>
      <c r="I419" s="81"/>
    </row>
    <row r="420" spans="1:9" x14ac:dyDescent="0.2">
      <c r="A420" s="885" t="s">
        <v>115</v>
      </c>
      <c r="B420" s="886"/>
      <c r="C420" s="464"/>
      <c r="D420" s="464"/>
      <c r="E420" s="83"/>
      <c r="F420" s="759"/>
      <c r="G420" s="762"/>
      <c r="H420" s="82"/>
    </row>
    <row r="421" spans="1:9" x14ac:dyDescent="0.2">
      <c r="A421" s="885" t="s">
        <v>72</v>
      </c>
      <c r="B421" s="886"/>
      <c r="C421" s="467">
        <f>C422+C425+C426+C427+C428</f>
        <v>14520688.84</v>
      </c>
      <c r="D421" s="467">
        <f>D422+D425+D426+D427+D428</f>
        <v>11158254.16</v>
      </c>
      <c r="E421" s="83"/>
      <c r="F421" s="759"/>
      <c r="G421" s="759"/>
    </row>
    <row r="422" spans="1:9" ht="27" customHeight="1" x14ac:dyDescent="0.2">
      <c r="A422" s="827" t="s">
        <v>287</v>
      </c>
      <c r="B422" s="862"/>
      <c r="C422" s="466">
        <v>0</v>
      </c>
      <c r="D422" s="466">
        <f>SUM(D423:D424)</f>
        <v>90077.699999999255</v>
      </c>
      <c r="E422" s="651"/>
      <c r="F422" s="763"/>
      <c r="G422" s="759"/>
    </row>
    <row r="423" spans="1:9" x14ac:dyDescent="0.2">
      <c r="A423" s="896" t="s">
        <v>195</v>
      </c>
      <c r="B423" s="897"/>
      <c r="C423" s="466">
        <v>2146073.66</v>
      </c>
      <c r="D423" s="466">
        <f>2791499.77+54220.18+9021780.66+638.23</f>
        <v>11868138.84</v>
      </c>
      <c r="E423" s="651"/>
      <c r="F423" s="759"/>
      <c r="G423" s="759"/>
    </row>
    <row r="424" spans="1:9" ht="25.5" customHeight="1" x14ac:dyDescent="0.2">
      <c r="A424" s="896" t="s">
        <v>197</v>
      </c>
      <c r="B424" s="897"/>
      <c r="C424" s="466">
        <v>-2146073.66</v>
      </c>
      <c r="D424" s="466">
        <f>-2791499.77-(10193.39+8975729.75+638.23)</f>
        <v>-11778061.140000001</v>
      </c>
      <c r="E424" s="651"/>
      <c r="F424" s="759"/>
      <c r="G424" s="759"/>
    </row>
    <row r="425" spans="1:9" x14ac:dyDescent="0.2">
      <c r="A425" s="827" t="s">
        <v>73</v>
      </c>
      <c r="B425" s="862"/>
      <c r="C425" s="466">
        <v>324553</v>
      </c>
      <c r="D425" s="466">
        <v>269766.33</v>
      </c>
      <c r="E425" s="652"/>
      <c r="F425" s="120"/>
    </row>
    <row r="426" spans="1:9" x14ac:dyDescent="0.2">
      <c r="A426" s="827" t="s">
        <v>146</v>
      </c>
      <c r="B426" s="862"/>
      <c r="C426" s="466">
        <v>6695787.1100000003</v>
      </c>
      <c r="D426" s="466">
        <v>4431292.79</v>
      </c>
    </row>
    <row r="427" spans="1:9" x14ac:dyDescent="0.2">
      <c r="A427" s="827" t="s">
        <v>74</v>
      </c>
      <c r="B427" s="862"/>
      <c r="C427" s="466"/>
      <c r="D427" s="466"/>
    </row>
    <row r="428" spans="1:9" x14ac:dyDescent="0.2">
      <c r="A428" s="827" t="s">
        <v>88</v>
      </c>
      <c r="B428" s="862"/>
      <c r="C428" s="466">
        <v>7500348.7300000004</v>
      </c>
      <c r="D428" s="466">
        <f>6337403.38+20200+9513.96</f>
        <v>6367117.3399999999</v>
      </c>
    </row>
    <row r="429" spans="1:9" ht="24.75" customHeight="1" thickBot="1" x14ac:dyDescent="0.25">
      <c r="A429" s="894" t="s">
        <v>75</v>
      </c>
      <c r="B429" s="895"/>
      <c r="C429" s="464">
        <v>9.17</v>
      </c>
      <c r="D429" s="465"/>
    </row>
    <row r="430" spans="1:9" ht="13.5" thickBot="1" x14ac:dyDescent="0.25">
      <c r="A430" s="898" t="s">
        <v>142</v>
      </c>
      <c r="B430" s="899"/>
      <c r="C430" s="592">
        <f>SUM(C418+C419+C420+C421+C429)</f>
        <v>14583302.799999999</v>
      </c>
      <c r="D430" s="592">
        <f>SUM(D418+D419+D420+D421+D429)</f>
        <v>11201763.76</v>
      </c>
    </row>
    <row r="433" spans="1:4" ht="15" x14ac:dyDescent="0.2">
      <c r="A433" s="653" t="s">
        <v>311</v>
      </c>
      <c r="B433" s="650"/>
      <c r="C433" s="650"/>
      <c r="D433" s="650"/>
    </row>
    <row r="434" spans="1:4" ht="13.5" thickBot="1" x14ac:dyDescent="0.25"/>
    <row r="435" spans="1:4" ht="13.5" thickBot="1" x14ac:dyDescent="0.25">
      <c r="A435" s="654" t="s">
        <v>71</v>
      </c>
      <c r="B435" s="655"/>
      <c r="C435" s="655"/>
      <c r="D435" s="656"/>
    </row>
    <row r="436" spans="1:4" ht="13.5" thickBot="1" x14ac:dyDescent="0.25">
      <c r="A436" s="910" t="s">
        <v>185</v>
      </c>
      <c r="B436" s="911"/>
      <c r="C436" s="910" t="s">
        <v>294</v>
      </c>
      <c r="D436" s="911"/>
    </row>
    <row r="437" spans="1:4" ht="13.5" thickBot="1" x14ac:dyDescent="0.25">
      <c r="A437" s="908" t="s">
        <v>600</v>
      </c>
      <c r="B437" s="909"/>
      <c r="C437" s="908" t="s">
        <v>600</v>
      </c>
      <c r="D437" s="909"/>
    </row>
    <row r="440" spans="1:4" ht="15" x14ac:dyDescent="0.2">
      <c r="A440" s="843" t="s">
        <v>416</v>
      </c>
      <c r="B440" s="843"/>
      <c r="C440" s="843"/>
      <c r="D440" s="913"/>
    </row>
    <row r="441" spans="1:4" ht="14.25" customHeight="1" x14ac:dyDescent="0.2">
      <c r="A441" s="912" t="s">
        <v>270</v>
      </c>
      <c r="B441" s="912"/>
      <c r="C441" s="912"/>
    </row>
    <row r="442" spans="1:4" ht="13.5" thickBot="1" x14ac:dyDescent="0.25">
      <c r="A442" s="83"/>
    </row>
    <row r="443" spans="1:4" ht="13.5" thickBot="1" x14ac:dyDescent="0.25">
      <c r="A443" s="857" t="s">
        <v>26</v>
      </c>
      <c r="B443" s="858"/>
      <c r="C443" s="62" t="s">
        <v>41</v>
      </c>
      <c r="D443" s="62" t="s">
        <v>616</v>
      </c>
    </row>
    <row r="444" spans="1:4" ht="28.15" customHeight="1" x14ac:dyDescent="0.2">
      <c r="A444" s="916" t="s">
        <v>414</v>
      </c>
      <c r="B444" s="917"/>
      <c r="C444" s="85" t="s">
        <v>600</v>
      </c>
      <c r="D444" s="86" t="s">
        <v>600</v>
      </c>
    </row>
    <row r="445" spans="1:4" x14ac:dyDescent="0.2">
      <c r="A445" s="877" t="s">
        <v>415</v>
      </c>
      <c r="B445" s="878"/>
      <c r="C445" s="87"/>
      <c r="D445" s="88"/>
    </row>
    <row r="446" spans="1:4" x14ac:dyDescent="0.2">
      <c r="A446" s="879" t="s">
        <v>47</v>
      </c>
      <c r="B446" s="880"/>
      <c r="C446" s="89"/>
      <c r="D446" s="90"/>
    </row>
    <row r="447" spans="1:4" x14ac:dyDescent="0.2">
      <c r="A447" s="881" t="s">
        <v>48</v>
      </c>
      <c r="B447" s="882"/>
      <c r="C447" s="87"/>
      <c r="D447" s="88"/>
    </row>
    <row r="448" spans="1:4" ht="13.5" customHeight="1" thickBot="1" x14ac:dyDescent="0.25">
      <c r="A448" s="883" t="s">
        <v>49</v>
      </c>
      <c r="B448" s="884"/>
      <c r="C448" s="91"/>
      <c r="D448" s="92"/>
    </row>
    <row r="452" spans="1:3" x14ac:dyDescent="0.2">
      <c r="A452" s="657" t="s">
        <v>367</v>
      </c>
      <c r="B452" s="657"/>
      <c r="C452" s="657"/>
    </row>
    <row r="453" spans="1:3" ht="13.5" thickBot="1" x14ac:dyDescent="0.25">
      <c r="A453" s="571"/>
      <c r="B453" s="571"/>
      <c r="C453" s="571"/>
    </row>
    <row r="454" spans="1:3" ht="26.25" thickBot="1" x14ac:dyDescent="0.25">
      <c r="A454" s="479"/>
      <c r="B454" s="79" t="s">
        <v>42</v>
      </c>
      <c r="C454" s="56" t="s">
        <v>109</v>
      </c>
    </row>
    <row r="455" spans="1:3" ht="13.5" thickBot="1" x14ac:dyDescent="0.25">
      <c r="A455" s="480" t="s">
        <v>122</v>
      </c>
      <c r="B455" s="658">
        <f>B456+B461</f>
        <v>0</v>
      </c>
      <c r="C455" s="658">
        <f>C456+C461</f>
        <v>0</v>
      </c>
    </row>
    <row r="456" spans="1:3" x14ac:dyDescent="0.2">
      <c r="A456" s="148" t="s">
        <v>328</v>
      </c>
      <c r="B456" s="148">
        <f>SUM(B458:B460)</f>
        <v>0</v>
      </c>
      <c r="C456" s="148">
        <f>SUM(C458:C460)</f>
        <v>0</v>
      </c>
    </row>
    <row r="457" spans="1:3" x14ac:dyDescent="0.2">
      <c r="A457" s="125" t="s">
        <v>137</v>
      </c>
      <c r="B457" s="125"/>
      <c r="C457" s="483"/>
    </row>
    <row r="458" spans="1:3" x14ac:dyDescent="0.2">
      <c r="A458" s="94"/>
      <c r="B458" s="125"/>
      <c r="C458" s="483"/>
    </row>
    <row r="459" spans="1:3" x14ac:dyDescent="0.2">
      <c r="A459" s="94"/>
      <c r="B459" s="125"/>
      <c r="C459" s="483"/>
    </row>
    <row r="460" spans="1:3" ht="13.5" thickBot="1" x14ac:dyDescent="0.25">
      <c r="A460" s="96"/>
      <c r="B460" s="461"/>
      <c r="C460" s="659"/>
    </row>
    <row r="461" spans="1:3" x14ac:dyDescent="0.2">
      <c r="A461" s="148" t="s">
        <v>329</v>
      </c>
      <c r="B461" s="148">
        <f>SUM(B463:B465)</f>
        <v>0</v>
      </c>
      <c r="C461" s="148">
        <f>SUM(C463:C465)</f>
        <v>0</v>
      </c>
    </row>
    <row r="462" spans="1:3" x14ac:dyDescent="0.2">
      <c r="A462" s="125" t="s">
        <v>137</v>
      </c>
      <c r="B462" s="459"/>
      <c r="C462" s="474"/>
    </row>
    <row r="463" spans="1:3" x14ac:dyDescent="0.2">
      <c r="A463" s="99"/>
      <c r="B463" s="459"/>
      <c r="C463" s="474"/>
    </row>
    <row r="464" spans="1:3" x14ac:dyDescent="0.2">
      <c r="A464" s="99"/>
      <c r="B464" s="125"/>
      <c r="C464" s="483"/>
    </row>
    <row r="465" spans="1:9" ht="13.5" thickBot="1" x14ac:dyDescent="0.25">
      <c r="A465" s="100"/>
      <c r="B465" s="461"/>
      <c r="C465" s="659"/>
    </row>
    <row r="466" spans="1:9" ht="13.5" thickBot="1" x14ac:dyDescent="0.25">
      <c r="A466" s="480" t="s">
        <v>123</v>
      </c>
      <c r="B466" s="658">
        <f>B467+B473</f>
        <v>0</v>
      </c>
      <c r="C466" s="658">
        <f>C467+C473</f>
        <v>7176881.7600000007</v>
      </c>
    </row>
    <row r="467" spans="1:9" x14ac:dyDescent="0.2">
      <c r="A467" s="485" t="s">
        <v>328</v>
      </c>
      <c r="B467" s="148">
        <f>SUM(B471:B472)</f>
        <v>0</v>
      </c>
      <c r="C467" s="459">
        <f>SUM(C469:C472)</f>
        <v>7176881.7600000007</v>
      </c>
    </row>
    <row r="468" spans="1:9" x14ac:dyDescent="0.2">
      <c r="A468" s="481" t="s">
        <v>137</v>
      </c>
      <c r="B468" s="125"/>
      <c r="C468" s="483"/>
    </row>
    <row r="469" spans="1:9" s="772" customFormat="1" ht="45" customHeight="1" x14ac:dyDescent="0.2">
      <c r="A469" s="434" t="s">
        <v>605</v>
      </c>
      <c r="B469" s="125">
        <v>13446693.449999999</v>
      </c>
      <c r="C469" s="771">
        <v>7108797.1800000006</v>
      </c>
      <c r="D469" s="84"/>
      <c r="E469" s="84"/>
    </row>
    <row r="470" spans="1:9" s="772" customFormat="1" ht="63.75" x14ac:dyDescent="0.2">
      <c r="A470" s="434" t="s">
        <v>622</v>
      </c>
      <c r="B470" s="125">
        <v>0</v>
      </c>
      <c r="C470" s="771">
        <v>6084.58</v>
      </c>
      <c r="D470" s="84"/>
      <c r="E470" s="84"/>
    </row>
    <row r="471" spans="1:9" ht="89.25" x14ac:dyDescent="0.2">
      <c r="A471" s="434" t="s">
        <v>623</v>
      </c>
      <c r="B471" s="125">
        <v>0</v>
      </c>
      <c r="C471" s="483">
        <v>62000</v>
      </c>
    </row>
    <row r="472" spans="1:9" ht="13.5" thickBot="1" x14ac:dyDescent="0.25">
      <c r="A472" s="100"/>
      <c r="B472" s="461"/>
      <c r="C472" s="659"/>
    </row>
    <row r="473" spans="1:9" x14ac:dyDescent="0.2">
      <c r="A473" s="149" t="s">
        <v>329</v>
      </c>
      <c r="B473" s="660">
        <f>SUM(B475:B477)</f>
        <v>0</v>
      </c>
      <c r="C473" s="660">
        <f>SUM(C475:C477)</f>
        <v>0</v>
      </c>
    </row>
    <row r="474" spans="1:9" x14ac:dyDescent="0.2">
      <c r="A474" s="481" t="s">
        <v>137</v>
      </c>
      <c r="B474" s="125"/>
      <c r="C474" s="125"/>
    </row>
    <row r="475" spans="1:9" x14ac:dyDescent="0.2">
      <c r="A475" s="101"/>
      <c r="B475" s="125"/>
      <c r="C475" s="125"/>
    </row>
    <row r="476" spans="1:9" x14ac:dyDescent="0.2">
      <c r="A476" s="101"/>
      <c r="B476" s="125"/>
      <c r="C476" s="125"/>
    </row>
    <row r="477" spans="1:9" ht="13.5" thickBot="1" x14ac:dyDescent="0.25">
      <c r="A477" s="661"/>
      <c r="B477" s="662"/>
      <c r="C477" s="662"/>
    </row>
    <row r="478" spans="1:9" x14ac:dyDescent="0.2">
      <c r="A478" s="657"/>
      <c r="B478" s="657"/>
      <c r="C478" s="657"/>
    </row>
    <row r="479" spans="1:9" x14ac:dyDescent="0.2">
      <c r="A479" s="657"/>
      <c r="B479" s="657"/>
      <c r="C479" s="657"/>
    </row>
    <row r="480" spans="1:9" ht="43.5" customHeight="1" x14ac:dyDescent="0.2">
      <c r="A480" s="1094" t="s">
        <v>412</v>
      </c>
      <c r="B480" s="1094"/>
      <c r="C480" s="1094"/>
      <c r="D480" s="1094"/>
      <c r="E480" s="1095"/>
      <c r="F480" s="1095"/>
      <c r="G480" s="1095"/>
      <c r="H480" s="1095"/>
      <c r="I480" s="1095"/>
    </row>
    <row r="481" spans="1:9" ht="13.5" thickBot="1" x14ac:dyDescent="0.25">
      <c r="A481" s="76"/>
      <c r="B481" s="76"/>
      <c r="C481" s="76"/>
      <c r="D481" s="76"/>
      <c r="E481" s="6"/>
      <c r="F481" s="6"/>
      <c r="G481" s="6"/>
      <c r="H481" s="6"/>
      <c r="I481" s="6"/>
    </row>
    <row r="482" spans="1:9" ht="55.5" customHeight="1" thickBot="1" x14ac:dyDescent="0.25">
      <c r="A482" s="864" t="s">
        <v>436</v>
      </c>
      <c r="B482" s="925"/>
      <c r="C482" s="925"/>
      <c r="D482" s="925"/>
      <c r="E482" s="865"/>
    </row>
    <row r="483" spans="1:9" ht="24.75" customHeight="1" thickBot="1" x14ac:dyDescent="0.25">
      <c r="A483" s="918" t="s">
        <v>185</v>
      </c>
      <c r="B483" s="919"/>
      <c r="C483" s="920" t="s">
        <v>186</v>
      </c>
      <c r="D483" s="921"/>
      <c r="E483" s="663" t="s">
        <v>151</v>
      </c>
    </row>
    <row r="484" spans="1:9" ht="20.25" customHeight="1" thickBot="1" x14ac:dyDescent="0.25">
      <c r="A484" s="908"/>
      <c r="B484" s="922"/>
      <c r="C484" s="923"/>
      <c r="D484" s="924"/>
      <c r="E484" s="664"/>
    </row>
    <row r="485" spans="1:9" x14ac:dyDescent="0.2">
      <c r="A485" s="657"/>
      <c r="B485" s="657"/>
      <c r="C485" s="657"/>
    </row>
    <row r="486" spans="1:9" x14ac:dyDescent="0.2">
      <c r="A486" s="657"/>
      <c r="B486" s="657"/>
      <c r="C486" s="657"/>
    </row>
    <row r="487" spans="1:9" x14ac:dyDescent="0.2">
      <c r="A487" s="657"/>
      <c r="B487" s="657"/>
      <c r="C487" s="657"/>
    </row>
    <row r="488" spans="1:9" x14ac:dyDescent="0.2">
      <c r="A488" s="657"/>
      <c r="B488" s="657"/>
      <c r="C488" s="657"/>
    </row>
    <row r="489" spans="1:9" x14ac:dyDescent="0.2">
      <c r="A489" s="657"/>
      <c r="B489" s="657"/>
      <c r="C489" s="657"/>
    </row>
    <row r="490" spans="1:9" x14ac:dyDescent="0.2">
      <c r="A490" s="657"/>
      <c r="B490" s="657"/>
      <c r="C490" s="657"/>
    </row>
    <row r="491" spans="1:9" x14ac:dyDescent="0.2">
      <c r="A491" s="657"/>
      <c r="B491" s="657"/>
      <c r="C491" s="657"/>
    </row>
    <row r="492" spans="1:9" x14ac:dyDescent="0.2">
      <c r="A492" s="657"/>
      <c r="B492" s="657"/>
      <c r="C492" s="657"/>
    </row>
    <row r="493" spans="1:9" x14ac:dyDescent="0.2">
      <c r="A493" s="657"/>
      <c r="B493" s="657"/>
      <c r="C493" s="657"/>
    </row>
    <row r="494" spans="1:9" x14ac:dyDescent="0.2">
      <c r="A494" s="657" t="s">
        <v>374</v>
      </c>
      <c r="B494" s="657"/>
      <c r="C494" s="657"/>
    </row>
    <row r="495" spans="1:9" x14ac:dyDescent="0.2">
      <c r="A495" s="887" t="s">
        <v>358</v>
      </c>
      <c r="B495" s="887"/>
      <c r="C495" s="887"/>
    </row>
    <row r="496" spans="1:9" ht="13.5" thickBot="1" x14ac:dyDescent="0.25">
      <c r="A496" s="657"/>
      <c r="B496" s="657"/>
      <c r="C496" s="657"/>
    </row>
    <row r="497" spans="1:7" ht="26.25" thickBot="1" x14ac:dyDescent="0.25">
      <c r="A497" s="902" t="s">
        <v>399</v>
      </c>
      <c r="B497" s="903"/>
      <c r="C497" s="903"/>
      <c r="D497" s="904"/>
      <c r="E497" s="79" t="s">
        <v>42</v>
      </c>
      <c r="F497" s="56" t="s">
        <v>109</v>
      </c>
      <c r="G497" s="102"/>
    </row>
    <row r="498" spans="1:7" ht="14.25" customHeight="1" thickBot="1" x14ac:dyDescent="0.25">
      <c r="A498" s="942" t="s">
        <v>411</v>
      </c>
      <c r="B498" s="1046"/>
      <c r="C498" s="1046"/>
      <c r="D498" s="1047"/>
      <c r="E498" s="658">
        <f>SUM(E499:E506)</f>
        <v>9050516.0999999996</v>
      </c>
      <c r="F498" s="429">
        <f>SUM(F499:F506)</f>
        <v>8458758.160000002</v>
      </c>
      <c r="G498" s="103"/>
    </row>
    <row r="499" spans="1:7" x14ac:dyDescent="0.2">
      <c r="A499" s="891" t="s">
        <v>206</v>
      </c>
      <c r="B499" s="892"/>
      <c r="C499" s="892"/>
      <c r="D499" s="893"/>
      <c r="E499" s="98">
        <v>7263831.5499999998</v>
      </c>
      <c r="F499" s="98">
        <v>6550089.4000000004</v>
      </c>
      <c r="G499" s="42"/>
    </row>
    <row r="500" spans="1:7" x14ac:dyDescent="0.2">
      <c r="A500" s="905" t="s">
        <v>207</v>
      </c>
      <c r="B500" s="906"/>
      <c r="C500" s="906"/>
      <c r="D500" s="907"/>
      <c r="E500" s="95">
        <v>358144.27</v>
      </c>
      <c r="F500" s="95">
        <v>347147.8</v>
      </c>
      <c r="G500" s="42"/>
    </row>
    <row r="501" spans="1:7" x14ac:dyDescent="0.2">
      <c r="A501" s="905" t="s">
        <v>208</v>
      </c>
      <c r="B501" s="906"/>
      <c r="C501" s="906"/>
      <c r="D501" s="907"/>
      <c r="E501" s="95"/>
      <c r="F501" s="95"/>
      <c r="G501" s="42"/>
    </row>
    <row r="502" spans="1:7" x14ac:dyDescent="0.2">
      <c r="A502" s="905" t="s">
        <v>209</v>
      </c>
      <c r="B502" s="906"/>
      <c r="C502" s="906"/>
      <c r="D502" s="907"/>
      <c r="E502" s="95"/>
      <c r="F502" s="95"/>
      <c r="G502" s="42"/>
    </row>
    <row r="503" spans="1:7" x14ac:dyDescent="0.2">
      <c r="A503" s="905" t="s">
        <v>210</v>
      </c>
      <c r="B503" s="906"/>
      <c r="C503" s="906"/>
      <c r="D503" s="907"/>
      <c r="E503" s="95">
        <v>1334622.8</v>
      </c>
      <c r="F503" s="95">
        <v>1456143.1700000004</v>
      </c>
      <c r="G503" s="42"/>
    </row>
    <row r="504" spans="1:7" ht="24.75" customHeight="1" x14ac:dyDescent="0.2">
      <c r="A504" s="812" t="s">
        <v>211</v>
      </c>
      <c r="B504" s="853"/>
      <c r="C504" s="853"/>
      <c r="D504" s="813"/>
      <c r="E504" s="95"/>
      <c r="F504" s="95"/>
      <c r="G504" s="42"/>
    </row>
    <row r="505" spans="1:7" x14ac:dyDescent="0.2">
      <c r="A505" s="812" t="s">
        <v>212</v>
      </c>
      <c r="B505" s="853"/>
      <c r="C505" s="853"/>
      <c r="D505" s="813"/>
      <c r="E505" s="95">
        <v>89917.69</v>
      </c>
      <c r="F505" s="95">
        <v>85377.22</v>
      </c>
      <c r="G505" s="42"/>
    </row>
    <row r="506" spans="1:7" ht="13.5" thickBot="1" x14ac:dyDescent="0.25">
      <c r="A506" s="854" t="s">
        <v>213</v>
      </c>
      <c r="B506" s="855"/>
      <c r="C506" s="855"/>
      <c r="D506" s="856"/>
      <c r="E506" s="117">
        <v>3999.79</v>
      </c>
      <c r="F506" s="117">
        <v>20000.57</v>
      </c>
      <c r="G506" s="42"/>
    </row>
    <row r="507" spans="1:7" ht="13.5" thickBot="1" x14ac:dyDescent="0.25">
      <c r="A507" s="942" t="s">
        <v>312</v>
      </c>
      <c r="B507" s="1046"/>
      <c r="C507" s="1046"/>
      <c r="D507" s="1047"/>
      <c r="E507" s="444">
        <v>1105.8</v>
      </c>
      <c r="F507" s="444">
        <v>33390.97</v>
      </c>
      <c r="G507" s="42"/>
    </row>
    <row r="508" spans="1:7" ht="13.5" thickBot="1" x14ac:dyDescent="0.25">
      <c r="A508" s="1043" t="s">
        <v>313</v>
      </c>
      <c r="B508" s="1044"/>
      <c r="C508" s="1044"/>
      <c r="D508" s="1045"/>
      <c r="E508" s="666"/>
      <c r="F508" s="445"/>
      <c r="G508" s="42"/>
    </row>
    <row r="509" spans="1:7" ht="13.5" thickBot="1" x14ac:dyDescent="0.25">
      <c r="A509" s="1043" t="s">
        <v>314</v>
      </c>
      <c r="B509" s="1044"/>
      <c r="C509" s="1044"/>
      <c r="D509" s="1045"/>
      <c r="E509" s="665"/>
      <c r="F509" s="444"/>
      <c r="G509" s="42"/>
    </row>
    <row r="510" spans="1:7" ht="13.5" thickBot="1" x14ac:dyDescent="0.25">
      <c r="A510" s="1043" t="s">
        <v>381</v>
      </c>
      <c r="B510" s="1044"/>
      <c r="C510" s="1044"/>
      <c r="D510" s="1045"/>
      <c r="E510" s="665"/>
      <c r="F510" s="444"/>
      <c r="G510" s="42"/>
    </row>
    <row r="511" spans="1:7" ht="13.5" thickBot="1" x14ac:dyDescent="0.25">
      <c r="A511" s="1043" t="s">
        <v>315</v>
      </c>
      <c r="B511" s="1044"/>
      <c r="C511" s="1044"/>
      <c r="D511" s="1045"/>
      <c r="E511" s="658">
        <f>SUM(E512+E520+E523+E526)</f>
        <v>10784289.830000002</v>
      </c>
      <c r="F511" s="429">
        <f>SUM(F512+F520+F523+F526)</f>
        <v>9998506.8800000008</v>
      </c>
      <c r="G511" s="103"/>
    </row>
    <row r="512" spans="1:7" x14ac:dyDescent="0.2">
      <c r="A512" s="891" t="s">
        <v>80</v>
      </c>
      <c r="B512" s="892"/>
      <c r="C512" s="892"/>
      <c r="D512" s="893"/>
      <c r="E512" s="599">
        <f>SUM(E513:E519)</f>
        <v>9590952.2000000011</v>
      </c>
      <c r="F512" s="118">
        <f>SUM(F513:F519)</f>
        <v>8656923.3800000008</v>
      </c>
    </row>
    <row r="513" spans="1:7" x14ac:dyDescent="0.2">
      <c r="A513" s="1040" t="s">
        <v>81</v>
      </c>
      <c r="B513" s="1041"/>
      <c r="C513" s="1041"/>
      <c r="D513" s="1042"/>
      <c r="E513" s="431"/>
      <c r="F513" s="106"/>
      <c r="G513" s="104"/>
    </row>
    <row r="514" spans="1:7" x14ac:dyDescent="0.2">
      <c r="A514" s="1040" t="s">
        <v>82</v>
      </c>
      <c r="B514" s="1041"/>
      <c r="C514" s="1041"/>
      <c r="D514" s="1042"/>
      <c r="E514" s="431"/>
      <c r="F514" s="106"/>
      <c r="G514" s="104"/>
    </row>
    <row r="515" spans="1:7" x14ac:dyDescent="0.2">
      <c r="A515" s="1040" t="s">
        <v>83</v>
      </c>
      <c r="B515" s="1041"/>
      <c r="C515" s="1041"/>
      <c r="D515" s="1042"/>
      <c r="E515" s="431"/>
      <c r="F515" s="106"/>
      <c r="G515" s="104"/>
    </row>
    <row r="516" spans="1:7" x14ac:dyDescent="0.2">
      <c r="A516" s="1040" t="s">
        <v>214</v>
      </c>
      <c r="B516" s="1041"/>
      <c r="C516" s="1041"/>
      <c r="D516" s="1042"/>
      <c r="E516" s="431"/>
      <c r="F516" s="106"/>
      <c r="G516" s="104"/>
    </row>
    <row r="517" spans="1:7" x14ac:dyDescent="0.2">
      <c r="A517" s="1040" t="s">
        <v>87</v>
      </c>
      <c r="B517" s="1041"/>
      <c r="C517" s="1041"/>
      <c r="D517" s="1042"/>
      <c r="E517" s="431"/>
      <c r="F517" s="106"/>
      <c r="G517" s="104"/>
    </row>
    <row r="518" spans="1:7" x14ac:dyDescent="0.2">
      <c r="A518" s="1040" t="s">
        <v>215</v>
      </c>
      <c r="B518" s="1041"/>
      <c r="C518" s="1041"/>
      <c r="D518" s="1042"/>
      <c r="E518" s="431"/>
      <c r="F518" s="106"/>
      <c r="G518" s="104"/>
    </row>
    <row r="519" spans="1:7" x14ac:dyDescent="0.2">
      <c r="A519" s="1040" t="s">
        <v>88</v>
      </c>
      <c r="B519" s="1041"/>
      <c r="C519" s="1041"/>
      <c r="D519" s="1042"/>
      <c r="E519" s="106">
        <v>9590952.2000000011</v>
      </c>
      <c r="F519" s="106">
        <v>8656923.3800000008</v>
      </c>
      <c r="G519" s="104"/>
    </row>
    <row r="520" spans="1:7" x14ac:dyDescent="0.2">
      <c r="A520" s="812" t="s">
        <v>89</v>
      </c>
      <c r="B520" s="853"/>
      <c r="C520" s="853"/>
      <c r="D520" s="813"/>
      <c r="E520" s="556">
        <f>SUM(E521:E522)</f>
        <v>0</v>
      </c>
      <c r="F520" s="33">
        <f>SUM(F521:F522)</f>
        <v>0</v>
      </c>
    </row>
    <row r="521" spans="1:7" x14ac:dyDescent="0.2">
      <c r="A521" s="1040" t="s">
        <v>90</v>
      </c>
      <c r="B521" s="1041"/>
      <c r="C521" s="1041"/>
      <c r="D521" s="1042"/>
      <c r="E521" s="431"/>
      <c r="F521" s="106"/>
      <c r="G521" s="104"/>
    </row>
    <row r="522" spans="1:7" x14ac:dyDescent="0.2">
      <c r="A522" s="1040" t="s">
        <v>91</v>
      </c>
      <c r="B522" s="1041"/>
      <c r="C522" s="1041"/>
      <c r="D522" s="1042"/>
      <c r="E522" s="431"/>
      <c r="F522" s="106"/>
      <c r="G522" s="104"/>
    </row>
    <row r="523" spans="1:7" x14ac:dyDescent="0.2">
      <c r="A523" s="905" t="s">
        <v>92</v>
      </c>
      <c r="B523" s="906"/>
      <c r="C523" s="906"/>
      <c r="D523" s="907"/>
      <c r="E523" s="556">
        <f>SUM(E524:E525)</f>
        <v>0</v>
      </c>
      <c r="F523" s="33">
        <f>SUM(F524:F525)</f>
        <v>0</v>
      </c>
    </row>
    <row r="524" spans="1:7" x14ac:dyDescent="0.2">
      <c r="A524" s="1040" t="s">
        <v>93</v>
      </c>
      <c r="B524" s="1041"/>
      <c r="C524" s="1041"/>
      <c r="D524" s="1042"/>
      <c r="E524" s="431">
        <v>0</v>
      </c>
      <c r="F524" s="106">
        <v>0</v>
      </c>
      <c r="G524" s="104"/>
    </row>
    <row r="525" spans="1:7" x14ac:dyDescent="0.2">
      <c r="A525" s="1040" t="s">
        <v>94</v>
      </c>
      <c r="B525" s="1041"/>
      <c r="C525" s="1041"/>
      <c r="D525" s="1042"/>
      <c r="E525" s="431"/>
      <c r="F525" s="106"/>
      <c r="G525" s="104"/>
    </row>
    <row r="526" spans="1:7" x14ac:dyDescent="0.2">
      <c r="A526" s="905" t="s">
        <v>95</v>
      </c>
      <c r="B526" s="906"/>
      <c r="C526" s="906"/>
      <c r="D526" s="907"/>
      <c r="E526" s="556">
        <f>SUM(E527:E540)</f>
        <v>1193337.6299999999</v>
      </c>
      <c r="F526" s="33">
        <f>SUM(F527:F540)</f>
        <v>1341583.5</v>
      </c>
    </row>
    <row r="527" spans="1:7" x14ac:dyDescent="0.2">
      <c r="A527" s="1040" t="s">
        <v>96</v>
      </c>
      <c r="B527" s="1041"/>
      <c r="C527" s="1041"/>
      <c r="D527" s="1042"/>
      <c r="E527" s="426">
        <v>338595.47</v>
      </c>
      <c r="F527" s="426">
        <v>339723.68</v>
      </c>
      <c r="G527" s="42"/>
    </row>
    <row r="528" spans="1:7" x14ac:dyDescent="0.2">
      <c r="A528" s="1040" t="s">
        <v>97</v>
      </c>
      <c r="B528" s="1041"/>
      <c r="C528" s="1041"/>
      <c r="D528" s="1042"/>
      <c r="E528" s="106">
        <v>130.41999999999999</v>
      </c>
      <c r="F528" s="106">
        <v>0</v>
      </c>
      <c r="G528" s="42"/>
    </row>
    <row r="529" spans="1:9" x14ac:dyDescent="0.2">
      <c r="A529" s="1040" t="s">
        <v>413</v>
      </c>
      <c r="B529" s="1041"/>
      <c r="C529" s="1041"/>
      <c r="D529" s="1042"/>
      <c r="E529" s="431"/>
      <c r="F529" s="431"/>
      <c r="G529" s="122"/>
    </row>
    <row r="530" spans="1:9" x14ac:dyDescent="0.2">
      <c r="A530" s="1040" t="s">
        <v>98</v>
      </c>
      <c r="B530" s="1041"/>
      <c r="C530" s="1041"/>
      <c r="D530" s="1042"/>
      <c r="E530" s="106"/>
      <c r="F530" s="106"/>
      <c r="G530" s="42"/>
    </row>
    <row r="531" spans="1:9" x14ac:dyDescent="0.2">
      <c r="A531" s="1040" t="s">
        <v>216</v>
      </c>
      <c r="B531" s="1041"/>
      <c r="C531" s="1041"/>
      <c r="D531" s="1042"/>
      <c r="E531" s="106"/>
      <c r="F531" s="106"/>
      <c r="G531" s="42"/>
    </row>
    <row r="532" spans="1:9" x14ac:dyDescent="0.2">
      <c r="A532" s="1040" t="s">
        <v>217</v>
      </c>
      <c r="B532" s="1041"/>
      <c r="C532" s="1041"/>
      <c r="D532" s="1042"/>
      <c r="E532" s="106"/>
      <c r="F532" s="106"/>
      <c r="G532" s="42"/>
    </row>
    <row r="533" spans="1:9" x14ac:dyDescent="0.2">
      <c r="A533" s="1040" t="s">
        <v>100</v>
      </c>
      <c r="B533" s="1041"/>
      <c r="C533" s="1041"/>
      <c r="D533" s="1042"/>
      <c r="E533" s="106"/>
      <c r="F533" s="106"/>
      <c r="G533" s="42"/>
    </row>
    <row r="534" spans="1:9" x14ac:dyDescent="0.2">
      <c r="A534" s="1040" t="s">
        <v>101</v>
      </c>
      <c r="B534" s="1041"/>
      <c r="C534" s="1041"/>
      <c r="D534" s="1042"/>
      <c r="E534" s="106"/>
      <c r="F534" s="106"/>
      <c r="G534" s="42"/>
    </row>
    <row r="535" spans="1:9" x14ac:dyDescent="0.2">
      <c r="A535" s="1040" t="s">
        <v>102</v>
      </c>
      <c r="B535" s="1041"/>
      <c r="C535" s="1041"/>
      <c r="D535" s="1042"/>
      <c r="E535" s="106"/>
      <c r="F535" s="106"/>
      <c r="G535" s="42"/>
    </row>
    <row r="536" spans="1:9" x14ac:dyDescent="0.2">
      <c r="A536" s="1056" t="s">
        <v>103</v>
      </c>
      <c r="B536" s="1057"/>
      <c r="C536" s="1057"/>
      <c r="D536" s="1058"/>
      <c r="E536" s="446">
        <v>637371.99</v>
      </c>
      <c r="F536" s="446">
        <v>656610.43999999994</v>
      </c>
      <c r="G536" s="42"/>
    </row>
    <row r="537" spans="1:9" x14ac:dyDescent="0.2">
      <c r="A537" s="1056" t="s">
        <v>218</v>
      </c>
      <c r="B537" s="1057"/>
      <c r="C537" s="1057"/>
      <c r="D537" s="1058"/>
      <c r="E537" s="483"/>
      <c r="F537" s="446"/>
      <c r="G537" s="42"/>
    </row>
    <row r="538" spans="1:9" x14ac:dyDescent="0.2">
      <c r="A538" s="1056" t="s">
        <v>219</v>
      </c>
      <c r="B538" s="1057"/>
      <c r="C538" s="1057"/>
      <c r="D538" s="1058"/>
      <c r="E538" s="483"/>
      <c r="F538" s="446"/>
      <c r="G538" s="42"/>
    </row>
    <row r="539" spans="1:9" x14ac:dyDescent="0.2">
      <c r="A539" s="1121" t="s">
        <v>13</v>
      </c>
      <c r="B539" s="1122"/>
      <c r="C539" s="1122"/>
      <c r="D539" s="1123"/>
      <c r="E539" s="483"/>
      <c r="F539" s="447"/>
      <c r="G539" s="42"/>
    </row>
    <row r="540" spans="1:9" ht="15.75" customHeight="1" thickBot="1" x14ac:dyDescent="0.25">
      <c r="A540" s="1105" t="s">
        <v>427</v>
      </c>
      <c r="B540" s="1106"/>
      <c r="C540" s="1106"/>
      <c r="D540" s="1107"/>
      <c r="E540" s="448">
        <v>217239.75</v>
      </c>
      <c r="F540" s="448">
        <v>345249.38</v>
      </c>
      <c r="G540" s="42"/>
      <c r="I540" s="122"/>
    </row>
    <row r="541" spans="1:9" ht="13.5" thickBot="1" x14ac:dyDescent="0.25">
      <c r="A541" s="1118" t="s">
        <v>316</v>
      </c>
      <c r="B541" s="1119"/>
      <c r="C541" s="1119"/>
      <c r="D541" s="1120"/>
      <c r="E541" s="635">
        <f>SUM(E498+E507+E508+E509+E510+E511)</f>
        <v>19835911.730000004</v>
      </c>
      <c r="F541" s="449">
        <f>SUM(F498+F507+F508+F509+F510+F511)</f>
        <v>18490656.010000005</v>
      </c>
      <c r="G541" s="80"/>
    </row>
    <row r="543" spans="1:9" x14ac:dyDescent="0.2">
      <c r="A543" s="962" t="s">
        <v>359</v>
      </c>
      <c r="B543" s="839"/>
      <c r="C543" s="839"/>
      <c r="D543" s="839"/>
    </row>
    <row r="544" spans="1:9" ht="13.5" thickBot="1" x14ac:dyDescent="0.25">
      <c r="A544" s="657"/>
      <c r="B544" s="657"/>
      <c r="C544" s="1"/>
    </row>
    <row r="545" spans="1:5" x14ac:dyDescent="0.2">
      <c r="A545" s="970" t="s">
        <v>168</v>
      </c>
      <c r="B545" s="972"/>
      <c r="C545" s="979" t="s">
        <v>42</v>
      </c>
      <c r="D545" s="979" t="s">
        <v>109</v>
      </c>
    </row>
    <row r="546" spans="1:5" ht="13.5" thickBot="1" x14ac:dyDescent="0.25">
      <c r="A546" s="1110"/>
      <c r="B546" s="1111"/>
      <c r="C546" s="1055"/>
      <c r="D546" s="1096"/>
    </row>
    <row r="547" spans="1:5" x14ac:dyDescent="0.2">
      <c r="A547" s="1065" t="s">
        <v>227</v>
      </c>
      <c r="B547" s="1066"/>
      <c r="C547" s="474">
        <v>5235989.03</v>
      </c>
      <c r="D547" s="474">
        <v>6408028.0800000001</v>
      </c>
    </row>
    <row r="548" spans="1:5" x14ac:dyDescent="0.2">
      <c r="A548" s="832" t="s">
        <v>228</v>
      </c>
      <c r="B548" s="833"/>
      <c r="C548" s="483"/>
      <c r="D548" s="483"/>
    </row>
    <row r="549" spans="1:5" x14ac:dyDescent="0.2">
      <c r="A549" s="832" t="s">
        <v>229</v>
      </c>
      <c r="B549" s="833"/>
      <c r="C549" s="483">
        <v>16493648.73</v>
      </c>
      <c r="D549" s="483">
        <v>18045894.73</v>
      </c>
    </row>
    <row r="550" spans="1:5" ht="30" customHeight="1" x14ac:dyDescent="0.2">
      <c r="A550" s="827" t="s">
        <v>230</v>
      </c>
      <c r="B550" s="862"/>
      <c r="C550" s="483"/>
      <c r="D550" s="483"/>
    </row>
    <row r="551" spans="1:5" ht="43.9" customHeight="1" x14ac:dyDescent="0.2">
      <c r="A551" s="827" t="s">
        <v>382</v>
      </c>
      <c r="B551" s="862"/>
      <c r="C551" s="483">
        <v>109470</v>
      </c>
      <c r="D551" s="483">
        <v>154980</v>
      </c>
    </row>
    <row r="552" spans="1:5" ht="27" customHeight="1" x14ac:dyDescent="0.2">
      <c r="A552" s="827" t="s">
        <v>317</v>
      </c>
      <c r="B552" s="862"/>
      <c r="C552" s="483">
        <v>28664.23</v>
      </c>
      <c r="D552" s="483">
        <v>22795.51</v>
      </c>
    </row>
    <row r="553" spans="1:5" x14ac:dyDescent="0.2">
      <c r="A553" s="827" t="s">
        <v>231</v>
      </c>
      <c r="B553" s="862"/>
      <c r="C553" s="483"/>
      <c r="D553" s="483"/>
      <c r="E553" s="622"/>
    </row>
    <row r="554" spans="1:5" ht="28.9" customHeight="1" x14ac:dyDescent="0.2">
      <c r="A554" s="827" t="s">
        <v>232</v>
      </c>
      <c r="B554" s="862"/>
      <c r="C554" s="483">
        <v>173776.67</v>
      </c>
      <c r="D554" s="483">
        <v>235065.13</v>
      </c>
    </row>
    <row r="555" spans="1:5" ht="35.450000000000003" customHeight="1" x14ac:dyDescent="0.2">
      <c r="A555" s="827" t="s">
        <v>233</v>
      </c>
      <c r="B555" s="862"/>
      <c r="C555" s="483">
        <v>222337.6</v>
      </c>
      <c r="D555" s="483">
        <v>373040.58</v>
      </c>
    </row>
    <row r="556" spans="1:5" ht="13.5" thickBot="1" x14ac:dyDescent="0.25">
      <c r="A556" s="938" t="s">
        <v>37</v>
      </c>
      <c r="B556" s="939"/>
      <c r="C556" s="473">
        <v>57955.08</v>
      </c>
      <c r="D556" s="473">
        <v>4345.74</v>
      </c>
    </row>
    <row r="557" spans="1:5" ht="13.5" thickBot="1" x14ac:dyDescent="0.25">
      <c r="A557" s="849" t="s">
        <v>156</v>
      </c>
      <c r="B557" s="850"/>
      <c r="C557" s="635">
        <f>SUM(C547:C556)</f>
        <v>22321841.340000004</v>
      </c>
      <c r="D557" s="635">
        <f>SUM(D547:D556)</f>
        <v>25244149.77</v>
      </c>
    </row>
    <row r="560" spans="1:5" x14ac:dyDescent="0.2">
      <c r="A560" s="887" t="s">
        <v>360</v>
      </c>
      <c r="B560" s="887"/>
      <c r="C560" s="887"/>
    </row>
    <row r="561" spans="1:7" ht="7.9" customHeight="1" thickBot="1" x14ac:dyDescent="0.25">
      <c r="A561" s="657"/>
      <c r="B561" s="657"/>
      <c r="C561" s="657"/>
    </row>
    <row r="562" spans="1:7" ht="26.25" thickBot="1" x14ac:dyDescent="0.25">
      <c r="A562" s="1112" t="s">
        <v>180</v>
      </c>
      <c r="B562" s="1113"/>
      <c r="C562" s="1113"/>
      <c r="D562" s="1114"/>
      <c r="E562" s="79" t="s">
        <v>42</v>
      </c>
      <c r="F562" s="56" t="s">
        <v>109</v>
      </c>
    </row>
    <row r="563" spans="1:7" ht="13.5" thickBot="1" x14ac:dyDescent="0.25">
      <c r="A563" s="942" t="s">
        <v>383</v>
      </c>
      <c r="B563" s="1046"/>
      <c r="C563" s="1046"/>
      <c r="D563" s="1047"/>
      <c r="E563" s="668">
        <f>E564+E565+E566</f>
        <v>10000143.800000001</v>
      </c>
      <c r="F563" s="454">
        <f>F564+F565+F566</f>
        <v>2668563.9499999997</v>
      </c>
    </row>
    <row r="564" spans="1:7" x14ac:dyDescent="0.2">
      <c r="A564" s="810" t="s">
        <v>220</v>
      </c>
      <c r="B564" s="900"/>
      <c r="C564" s="900"/>
      <c r="D564" s="811"/>
      <c r="E564" s="430">
        <v>3267050</v>
      </c>
      <c r="F564" s="430">
        <v>309473.82</v>
      </c>
    </row>
    <row r="565" spans="1:7" x14ac:dyDescent="0.2">
      <c r="A565" s="812" t="s">
        <v>221</v>
      </c>
      <c r="B565" s="853"/>
      <c r="C565" s="853"/>
      <c r="D565" s="813"/>
      <c r="E565" s="431"/>
      <c r="F565" s="431"/>
    </row>
    <row r="566" spans="1:7" ht="13.5" thickBot="1" x14ac:dyDescent="0.25">
      <c r="A566" s="854" t="s">
        <v>400</v>
      </c>
      <c r="B566" s="855"/>
      <c r="C566" s="855"/>
      <c r="D566" s="856"/>
      <c r="E566" s="431">
        <v>6733093.7999999998</v>
      </c>
      <c r="F566" s="431">
        <v>2359090.13</v>
      </c>
    </row>
    <row r="567" spans="1:7" ht="13.5" thickBot="1" x14ac:dyDescent="0.25">
      <c r="A567" s="1062" t="s">
        <v>318</v>
      </c>
      <c r="B567" s="1063"/>
      <c r="C567" s="1063"/>
      <c r="D567" s="1064"/>
      <c r="E567" s="665">
        <v>0</v>
      </c>
      <c r="F567" s="444">
        <v>0</v>
      </c>
    </row>
    <row r="568" spans="1:7" ht="13.5" thickBot="1" x14ac:dyDescent="0.25">
      <c r="A568" s="1052" t="s">
        <v>319</v>
      </c>
      <c r="B568" s="1053"/>
      <c r="C568" s="1053"/>
      <c r="D568" s="1054"/>
      <c r="E568" s="658">
        <f>SUM(E569:E578)</f>
        <v>2045622.64</v>
      </c>
      <c r="F568" s="658">
        <f>SUM(F569:F578)</f>
        <v>3012664.23</v>
      </c>
    </row>
    <row r="569" spans="1:7" x14ac:dyDescent="0.2">
      <c r="A569" s="891" t="s">
        <v>428</v>
      </c>
      <c r="B569" s="892"/>
      <c r="C569" s="892"/>
      <c r="D569" s="893"/>
      <c r="E569" s="667"/>
      <c r="F569" s="695"/>
    </row>
    <row r="570" spans="1:7" x14ac:dyDescent="0.2">
      <c r="A570" s="905" t="s">
        <v>429</v>
      </c>
      <c r="B570" s="906"/>
      <c r="C570" s="906"/>
      <c r="D570" s="907"/>
      <c r="E570" s="556"/>
      <c r="F570" s="696"/>
    </row>
    <row r="571" spans="1:7" x14ac:dyDescent="0.2">
      <c r="A571" s="905" t="s">
        <v>222</v>
      </c>
      <c r="B571" s="906"/>
      <c r="C571" s="906"/>
      <c r="D571" s="907"/>
      <c r="E571" s="94">
        <v>33583.25</v>
      </c>
      <c r="F571" s="94">
        <v>147838.6</v>
      </c>
    </row>
    <row r="572" spans="1:7" x14ac:dyDescent="0.2">
      <c r="A572" s="905" t="s">
        <v>419</v>
      </c>
      <c r="B572" s="906"/>
      <c r="C572" s="906"/>
      <c r="D572" s="907"/>
      <c r="E572" s="431"/>
      <c r="F572" s="431"/>
    </row>
    <row r="573" spans="1:7" x14ac:dyDescent="0.2">
      <c r="A573" s="905" t="s">
        <v>223</v>
      </c>
      <c r="B573" s="906"/>
      <c r="C573" s="906"/>
      <c r="D573" s="907"/>
      <c r="E573" s="431"/>
      <c r="F573" s="431"/>
    </row>
    <row r="574" spans="1:7" x14ac:dyDescent="0.2">
      <c r="A574" s="905" t="s">
        <v>224</v>
      </c>
      <c r="B574" s="906"/>
      <c r="C574" s="906"/>
      <c r="D574" s="907"/>
      <c r="E574" s="681">
        <f>592467.11+18383.17</f>
        <v>610850.28</v>
      </c>
      <c r="F574" s="681"/>
      <c r="G574" s="120"/>
    </row>
    <row r="575" spans="1:7" x14ac:dyDescent="0.2">
      <c r="A575" s="905" t="s">
        <v>225</v>
      </c>
      <c r="B575" s="906"/>
      <c r="C575" s="906"/>
      <c r="D575" s="907"/>
      <c r="E575" s="473">
        <f>218935.9+4050.05</f>
        <v>222985.94999999998</v>
      </c>
      <c r="F575" s="473">
        <v>41841.479999999996</v>
      </c>
    </row>
    <row r="576" spans="1:7" ht="31.15" customHeight="1" x14ac:dyDescent="0.2">
      <c r="A576" s="812" t="s">
        <v>430</v>
      </c>
      <c r="B576" s="853"/>
      <c r="C576" s="853"/>
      <c r="D576" s="813"/>
      <c r="E576" s="483"/>
      <c r="F576" s="483"/>
    </row>
    <row r="577" spans="1:8" ht="54.6" customHeight="1" x14ac:dyDescent="0.2">
      <c r="A577" s="812" t="s">
        <v>226</v>
      </c>
      <c r="B577" s="853"/>
      <c r="C577" s="853"/>
      <c r="D577" s="813"/>
      <c r="E577" s="681"/>
      <c r="F577" s="681"/>
    </row>
    <row r="578" spans="1:8" ht="63.6" customHeight="1" thickBot="1" x14ac:dyDescent="0.25">
      <c r="A578" s="854" t="s">
        <v>435</v>
      </c>
      <c r="B578" s="855"/>
      <c r="C578" s="855"/>
      <c r="D578" s="856"/>
      <c r="E578" s="681">
        <f>1010078.08+168125.08</f>
        <v>1178203.1599999999</v>
      </c>
      <c r="F578" s="681">
        <f>2776312.88+46671.27</f>
        <v>2822984.15</v>
      </c>
    </row>
    <row r="579" spans="1:8" ht="13.5" thickBot="1" x14ac:dyDescent="0.25">
      <c r="A579" s="849" t="s">
        <v>156</v>
      </c>
      <c r="B579" s="901"/>
      <c r="C579" s="901"/>
      <c r="D579" s="850"/>
      <c r="E579" s="615">
        <f>SUM(E563+E567+E568)</f>
        <v>12045766.440000001</v>
      </c>
      <c r="F579" s="64">
        <f>SUM(F563+F567+F568)</f>
        <v>5681228.1799999997</v>
      </c>
    </row>
    <row r="580" spans="1:8" ht="18" customHeight="1" x14ac:dyDescent="0.2"/>
    <row r="581" spans="1:8" ht="18" customHeight="1" x14ac:dyDescent="0.2"/>
    <row r="582" spans="1:8" x14ac:dyDescent="0.2">
      <c r="A582" s="962" t="s">
        <v>361</v>
      </c>
      <c r="B582" s="839"/>
      <c r="C582" s="839"/>
      <c r="D582" s="839"/>
    </row>
    <row r="583" spans="1:8" ht="17.45" customHeight="1" thickBot="1" x14ac:dyDescent="0.25">
      <c r="A583" s="657"/>
      <c r="B583" s="657"/>
      <c r="C583" s="1"/>
      <c r="D583" s="1"/>
    </row>
    <row r="584" spans="1:8" ht="26.25" thickBot="1" x14ac:dyDescent="0.25">
      <c r="A584" s="902" t="s">
        <v>85</v>
      </c>
      <c r="B584" s="903"/>
      <c r="C584" s="903"/>
      <c r="D584" s="904"/>
      <c r="E584" s="79" t="s">
        <v>42</v>
      </c>
      <c r="F584" s="56" t="s">
        <v>109</v>
      </c>
    </row>
    <row r="585" spans="1:8" ht="30.75" customHeight="1" thickBot="1" x14ac:dyDescent="0.25">
      <c r="A585" s="1043" t="s">
        <v>320</v>
      </c>
      <c r="B585" s="1044"/>
      <c r="C585" s="1044"/>
      <c r="D585" s="1045"/>
      <c r="E585" s="668"/>
      <c r="F585" s="107"/>
    </row>
    <row r="586" spans="1:8" ht="13.5" thickBot="1" x14ac:dyDescent="0.25">
      <c r="A586" s="942" t="s">
        <v>321</v>
      </c>
      <c r="B586" s="1046"/>
      <c r="C586" s="1046"/>
      <c r="D586" s="1047"/>
      <c r="E586" s="658">
        <f>SUM(E587+E588+E592)</f>
        <v>5552712.6800000006</v>
      </c>
      <c r="F586" s="93">
        <f>SUM(F587+F588+F592)</f>
        <v>1331013.3899999999</v>
      </c>
    </row>
    <row r="587" spans="1:8" x14ac:dyDescent="0.2">
      <c r="A587" s="1039" t="s">
        <v>322</v>
      </c>
      <c r="B587" s="1070"/>
      <c r="C587" s="1070"/>
      <c r="D587" s="1071"/>
      <c r="E587" s="634"/>
      <c r="F587" s="47">
        <v>304425.05</v>
      </c>
    </row>
    <row r="588" spans="1:8" x14ac:dyDescent="0.2">
      <c r="A588" s="824" t="s">
        <v>104</v>
      </c>
      <c r="B588" s="1072"/>
      <c r="C588" s="1072"/>
      <c r="D588" s="1073"/>
      <c r="E588" s="550">
        <f>SUM(E589:E591)</f>
        <v>195521.69</v>
      </c>
      <c r="F588" s="30">
        <f>SUM(F589:F591)</f>
        <v>611182.31999999995</v>
      </c>
    </row>
    <row r="589" spans="1:8" ht="27.6" customHeight="1" x14ac:dyDescent="0.2">
      <c r="A589" s="812" t="s">
        <v>431</v>
      </c>
      <c r="B589" s="853"/>
      <c r="C589" s="853"/>
      <c r="D589" s="813"/>
      <c r="E589" s="556"/>
      <c r="F589" s="33">
        <v>8610</v>
      </c>
    </row>
    <row r="590" spans="1:8" x14ac:dyDescent="0.2">
      <c r="A590" s="812" t="s">
        <v>432</v>
      </c>
      <c r="B590" s="853"/>
      <c r="C590" s="853"/>
      <c r="D590" s="813"/>
      <c r="E590" s="556"/>
      <c r="F590" s="33"/>
    </row>
    <row r="591" spans="1:8" x14ac:dyDescent="0.2">
      <c r="A591" s="812" t="s">
        <v>433</v>
      </c>
      <c r="B591" s="853"/>
      <c r="C591" s="853"/>
      <c r="D591" s="813"/>
      <c r="E591" s="125">
        <f>45808.23+149713.46</f>
        <v>195521.69</v>
      </c>
      <c r="F591" s="125">
        <f>602572.32</f>
        <v>602572.31999999995</v>
      </c>
      <c r="G591" s="120"/>
      <c r="H591" s="758"/>
    </row>
    <row r="592" spans="1:8" x14ac:dyDescent="0.2">
      <c r="A592" s="926" t="s">
        <v>113</v>
      </c>
      <c r="B592" s="1078"/>
      <c r="C592" s="1078"/>
      <c r="D592" s="927"/>
      <c r="E592" s="550">
        <f>SUM(E594:E597)</f>
        <v>5357190.99</v>
      </c>
      <c r="F592" s="30">
        <f>SUM(F594:F597)</f>
        <v>415406.02</v>
      </c>
    </row>
    <row r="593" spans="1:9" x14ac:dyDescent="0.2">
      <c r="A593" s="812" t="s">
        <v>384</v>
      </c>
      <c r="B593" s="853"/>
      <c r="C593" s="853"/>
      <c r="D593" s="813"/>
      <c r="E593" s="550"/>
      <c r="F593" s="150"/>
      <c r="G593" s="121"/>
      <c r="H593" s="121"/>
      <c r="I593" s="120"/>
    </row>
    <row r="594" spans="1:9" x14ac:dyDescent="0.2">
      <c r="A594" s="812" t="s">
        <v>401</v>
      </c>
      <c r="B594" s="853"/>
      <c r="C594" s="853"/>
      <c r="D594" s="813"/>
      <c r="E594" s="49">
        <f>61610.5+1443750</f>
        <v>1505360.5</v>
      </c>
      <c r="F594" s="49">
        <v>2936</v>
      </c>
    </row>
    <row r="595" spans="1:9" x14ac:dyDescent="0.2">
      <c r="A595" s="877" t="s">
        <v>234</v>
      </c>
      <c r="B595" s="1077"/>
      <c r="C595" s="1077"/>
      <c r="D595" s="878"/>
      <c r="E595" s="49">
        <v>2907.56</v>
      </c>
      <c r="F595" s="49">
        <v>205915.09</v>
      </c>
    </row>
    <row r="596" spans="1:9" x14ac:dyDescent="0.2">
      <c r="A596" s="877" t="s">
        <v>235</v>
      </c>
      <c r="B596" s="1077"/>
      <c r="C596" s="1077"/>
      <c r="D596" s="878"/>
      <c r="E596" s="49"/>
      <c r="F596" s="49"/>
    </row>
    <row r="597" spans="1:9" ht="55.15" customHeight="1" thickBot="1" x14ac:dyDescent="0.25">
      <c r="A597" s="854" t="s">
        <v>434</v>
      </c>
      <c r="B597" s="855"/>
      <c r="C597" s="855"/>
      <c r="D597" s="856"/>
      <c r="E597" s="664">
        <f>3782187.63+43874.41+22860.89</f>
        <v>3848922.93</v>
      </c>
      <c r="F597" s="49">
        <v>206554.93</v>
      </c>
      <c r="G597" s="120"/>
    </row>
    <row r="598" spans="1:9" ht="13.5" thickBot="1" x14ac:dyDescent="0.25">
      <c r="A598" s="849" t="s">
        <v>323</v>
      </c>
      <c r="B598" s="901"/>
      <c r="C598" s="901"/>
      <c r="D598" s="850"/>
      <c r="E598" s="615">
        <f>SUM(E585+E586)</f>
        <v>5552712.6800000006</v>
      </c>
      <c r="F598" s="615">
        <f>SUM(F585+F586)</f>
        <v>1331013.3899999999</v>
      </c>
      <c r="G598" s="120"/>
      <c r="H598" s="120"/>
    </row>
    <row r="601" spans="1:9" x14ac:dyDescent="0.2">
      <c r="A601" s="3" t="s">
        <v>362</v>
      </c>
      <c r="B601" s="1"/>
      <c r="C601" s="1"/>
    </row>
    <row r="602" spans="1:9" ht="13.5" thickBot="1" x14ac:dyDescent="0.25">
      <c r="A602" s="1"/>
      <c r="B602" s="1"/>
      <c r="C602" s="1"/>
    </row>
    <row r="603" spans="1:9" ht="26.25" thickBot="1" x14ac:dyDescent="0.25">
      <c r="A603" s="902"/>
      <c r="B603" s="903"/>
      <c r="C603" s="903"/>
      <c r="D603" s="904"/>
      <c r="E603" s="79" t="s">
        <v>42</v>
      </c>
      <c r="F603" s="56" t="s">
        <v>109</v>
      </c>
    </row>
    <row r="604" spans="1:9" ht="13.5" thickBot="1" x14ac:dyDescent="0.25">
      <c r="A604" s="1074" t="s">
        <v>324</v>
      </c>
      <c r="B604" s="1075"/>
      <c r="C604" s="1075"/>
      <c r="D604" s="1076"/>
      <c r="E604" s="658"/>
      <c r="F604" s="93"/>
    </row>
    <row r="605" spans="1:9" ht="13.5" thickBot="1" x14ac:dyDescent="0.25">
      <c r="A605" s="1062" t="s">
        <v>325</v>
      </c>
      <c r="B605" s="1063"/>
      <c r="C605" s="1063"/>
      <c r="D605" s="1064"/>
      <c r="E605" s="93">
        <f>SUM(E606:E607)</f>
        <v>2783022.08</v>
      </c>
      <c r="F605" s="93">
        <f>SUM(F606:F607)</f>
        <v>2745667.59</v>
      </c>
    </row>
    <row r="606" spans="1:9" ht="41.1" customHeight="1" x14ac:dyDescent="0.2">
      <c r="A606" s="810" t="s">
        <v>385</v>
      </c>
      <c r="B606" s="900"/>
      <c r="C606" s="900"/>
      <c r="D606" s="811"/>
      <c r="E606" s="474">
        <f>95222.08-E611+2694839.41</f>
        <v>2783022.08</v>
      </c>
      <c r="F606" s="770">
        <f>3203.77+2673417+69046.82</f>
        <v>2745667.59</v>
      </c>
      <c r="G606" s="120"/>
    </row>
    <row r="607" spans="1:9" ht="16.149999999999999" customHeight="1" thickBot="1" x14ac:dyDescent="0.25">
      <c r="A607" s="888" t="s">
        <v>236</v>
      </c>
      <c r="B607" s="889"/>
      <c r="C607" s="889"/>
      <c r="D607" s="890"/>
      <c r="E607" s="105"/>
      <c r="F607" s="105"/>
    </row>
    <row r="608" spans="1:9" ht="13.5" thickBot="1" x14ac:dyDescent="0.25">
      <c r="A608" s="1062" t="s">
        <v>326</v>
      </c>
      <c r="B608" s="1063"/>
      <c r="C608" s="1063"/>
      <c r="D608" s="1064"/>
      <c r="E608" s="93">
        <f>SUM(E609:E615)</f>
        <v>7039.41</v>
      </c>
      <c r="F608" s="93">
        <f>SUM(F609:F615)</f>
        <v>0</v>
      </c>
    </row>
    <row r="609" spans="1:7" x14ac:dyDescent="0.2">
      <c r="A609" s="891" t="s">
        <v>99</v>
      </c>
      <c r="B609" s="892"/>
      <c r="C609" s="892"/>
      <c r="D609" s="893"/>
      <c r="E609" s="151"/>
      <c r="F609" s="151"/>
    </row>
    <row r="610" spans="1:7" x14ac:dyDescent="0.2">
      <c r="A610" s="1059" t="s">
        <v>14</v>
      </c>
      <c r="B610" s="1060"/>
      <c r="C610" s="1060"/>
      <c r="D610" s="1061"/>
      <c r="E610" s="98"/>
      <c r="F610" s="98"/>
    </row>
    <row r="611" spans="1:7" x14ac:dyDescent="0.2">
      <c r="A611" s="905" t="s">
        <v>258</v>
      </c>
      <c r="B611" s="906"/>
      <c r="C611" s="906"/>
      <c r="D611" s="907"/>
      <c r="E611" s="474">
        <f>35.79+7003.62</f>
        <v>7039.41</v>
      </c>
      <c r="F611" s="474"/>
      <c r="G611" s="120"/>
    </row>
    <row r="612" spans="1:7" x14ac:dyDescent="0.2">
      <c r="A612" s="812" t="s">
        <v>237</v>
      </c>
      <c r="B612" s="853"/>
      <c r="C612" s="853"/>
      <c r="D612" s="813"/>
      <c r="E612" s="95"/>
      <c r="F612" s="95"/>
    </row>
    <row r="613" spans="1:7" x14ac:dyDescent="0.2">
      <c r="A613" s="812" t="s">
        <v>238</v>
      </c>
      <c r="B613" s="853"/>
      <c r="C613" s="853"/>
      <c r="D613" s="813"/>
      <c r="E613" s="468"/>
      <c r="F613" s="105"/>
    </row>
    <row r="614" spans="1:7" x14ac:dyDescent="0.2">
      <c r="A614" s="812" t="s">
        <v>239</v>
      </c>
      <c r="B614" s="853"/>
      <c r="C614" s="853"/>
      <c r="D614" s="813"/>
      <c r="E614" s="468"/>
      <c r="F614" s="105"/>
    </row>
    <row r="615" spans="1:7" ht="13.5" thickBot="1" x14ac:dyDescent="0.25">
      <c r="A615" s="1067" t="s">
        <v>290</v>
      </c>
      <c r="B615" s="1068"/>
      <c r="C615" s="1068"/>
      <c r="D615" s="1069"/>
      <c r="E615" s="468"/>
      <c r="F615" s="105"/>
      <c r="G615" s="120"/>
    </row>
    <row r="616" spans="1:7" ht="13.5" thickBot="1" x14ac:dyDescent="0.25">
      <c r="A616" s="849" t="s">
        <v>156</v>
      </c>
      <c r="B616" s="901"/>
      <c r="C616" s="901"/>
      <c r="D616" s="850"/>
      <c r="E616" s="615">
        <f>E604+E605+E608</f>
        <v>2790061.49</v>
      </c>
      <c r="F616" s="64">
        <f>F604+F605+F608</f>
        <v>2745667.59</v>
      </c>
    </row>
    <row r="619" spans="1:7" x14ac:dyDescent="0.2">
      <c r="A619" s="887" t="s">
        <v>363</v>
      </c>
      <c r="B619" s="887"/>
      <c r="C619" s="887"/>
    </row>
    <row r="620" spans="1:7" ht="13.5" thickBot="1" x14ac:dyDescent="0.25">
      <c r="A620" s="571"/>
      <c r="B620" s="571"/>
      <c r="C620" s="571"/>
    </row>
    <row r="621" spans="1:7" ht="26.25" thickBot="1" x14ac:dyDescent="0.25">
      <c r="A621" s="902"/>
      <c r="B621" s="903"/>
      <c r="C621" s="903"/>
      <c r="D621" s="904"/>
      <c r="E621" s="79" t="s">
        <v>42</v>
      </c>
      <c r="F621" s="56" t="s">
        <v>109</v>
      </c>
    </row>
    <row r="622" spans="1:7" ht="13.5" thickBot="1" x14ac:dyDescent="0.25">
      <c r="A622" s="942" t="s">
        <v>325</v>
      </c>
      <c r="B622" s="1046"/>
      <c r="C622" s="1046"/>
      <c r="D622" s="1047"/>
      <c r="E622" s="658">
        <f>E623+E624</f>
        <v>0</v>
      </c>
      <c r="F622" s="93">
        <f>F623+F624</f>
        <v>0</v>
      </c>
    </row>
    <row r="623" spans="1:7" x14ac:dyDescent="0.2">
      <c r="A623" s="891" t="s">
        <v>240</v>
      </c>
      <c r="B623" s="892"/>
      <c r="C623" s="892"/>
      <c r="D623" s="893"/>
      <c r="E623" s="148"/>
      <c r="F623" s="108"/>
    </row>
    <row r="624" spans="1:7" ht="13.5" thickBot="1" x14ac:dyDescent="0.25">
      <c r="A624" s="1059" t="s">
        <v>393</v>
      </c>
      <c r="B624" s="1060"/>
      <c r="C624" s="1060"/>
      <c r="D624" s="1061"/>
      <c r="E624" s="461"/>
      <c r="F624" s="97"/>
    </row>
    <row r="625" spans="1:7" ht="13.5" thickBot="1" x14ac:dyDescent="0.25">
      <c r="A625" s="942" t="s">
        <v>327</v>
      </c>
      <c r="B625" s="1046"/>
      <c r="C625" s="1046"/>
      <c r="D625" s="1047"/>
      <c r="E625" s="658">
        <f>SUM(E626:E631)</f>
        <v>2044296.87</v>
      </c>
      <c r="F625" s="93">
        <f>SUM(F626:F631)</f>
        <v>1892651.0600000003</v>
      </c>
    </row>
    <row r="626" spans="1:7" x14ac:dyDescent="0.2">
      <c r="A626" s="905" t="s">
        <v>15</v>
      </c>
      <c r="B626" s="906"/>
      <c r="C626" s="906"/>
      <c r="D626" s="907"/>
      <c r="E626" s="125"/>
      <c r="F626" s="49"/>
    </row>
    <row r="627" spans="1:7" x14ac:dyDescent="0.2">
      <c r="A627" s="812" t="s">
        <v>241</v>
      </c>
      <c r="B627" s="853"/>
      <c r="C627" s="853"/>
      <c r="D627" s="813"/>
      <c r="E627" s="125"/>
      <c r="F627" s="49"/>
    </row>
    <row r="628" spans="1:7" x14ac:dyDescent="0.2">
      <c r="A628" s="812" t="s">
        <v>242</v>
      </c>
      <c r="B628" s="853"/>
      <c r="C628" s="853"/>
      <c r="D628" s="813"/>
      <c r="E628" s="468">
        <f>82769.42+26628.46+1775899.08</f>
        <v>1885296.96</v>
      </c>
      <c r="F628" s="468">
        <v>1836525.0900000003</v>
      </c>
      <c r="G628" s="120"/>
    </row>
    <row r="629" spans="1:7" x14ac:dyDescent="0.2">
      <c r="A629" s="812" t="s">
        <v>254</v>
      </c>
      <c r="B629" s="853"/>
      <c r="C629" s="853"/>
      <c r="D629" s="813"/>
      <c r="E629" s="455"/>
      <c r="F629" s="455"/>
      <c r="G629" s="120"/>
    </row>
    <row r="630" spans="1:7" x14ac:dyDescent="0.2">
      <c r="A630" s="812" t="s">
        <v>255</v>
      </c>
      <c r="B630" s="853"/>
      <c r="C630" s="853"/>
      <c r="D630" s="813"/>
      <c r="E630" s="455"/>
      <c r="F630" s="455"/>
      <c r="G630" s="120"/>
    </row>
    <row r="631" spans="1:7" ht="13.5" thickBot="1" x14ac:dyDescent="0.25">
      <c r="A631" s="1067" t="s">
        <v>290</v>
      </c>
      <c r="B631" s="1068"/>
      <c r="C631" s="1068"/>
      <c r="D631" s="1069"/>
      <c r="E631" s="468">
        <f>5864.92+148656+35.79+4443.2</f>
        <v>158999.91000000003</v>
      </c>
      <c r="F631" s="468">
        <v>56125.97</v>
      </c>
      <c r="G631" s="120"/>
    </row>
    <row r="632" spans="1:7" ht="13.5" thickBot="1" x14ac:dyDescent="0.25">
      <c r="A632" s="849" t="s">
        <v>156</v>
      </c>
      <c r="B632" s="901"/>
      <c r="C632" s="901"/>
      <c r="D632" s="850"/>
      <c r="E632" s="615">
        <f>SUM(E622+E625)</f>
        <v>2044296.87</v>
      </c>
      <c r="F632" s="64">
        <f>SUM(F622+F625)</f>
        <v>1892651.0600000003</v>
      </c>
    </row>
    <row r="639" spans="1:7" x14ac:dyDescent="0.2">
      <c r="A639" s="1090" t="s">
        <v>364</v>
      </c>
      <c r="B639" s="1090"/>
      <c r="C639" s="1090"/>
      <c r="D639" s="1090"/>
      <c r="E639" s="1090"/>
      <c r="F639" s="1090"/>
    </row>
    <row r="640" spans="1:7" ht="13.5" thickBot="1" x14ac:dyDescent="0.25">
      <c r="A640" s="6"/>
    </row>
    <row r="641" spans="1:9" ht="13.5" thickBot="1" x14ac:dyDescent="0.25">
      <c r="A641" s="1102" t="s">
        <v>128</v>
      </c>
      <c r="B641" s="1103"/>
      <c r="C641" s="1099" t="s">
        <v>294</v>
      </c>
      <c r="D641" s="1100"/>
      <c r="E641" s="1100"/>
      <c r="F641" s="1101"/>
    </row>
    <row r="642" spans="1:9" ht="13.5" thickBot="1" x14ac:dyDescent="0.25">
      <c r="A642" s="918"/>
      <c r="B642" s="1104"/>
      <c r="C642" s="669" t="s">
        <v>120</v>
      </c>
      <c r="D642" s="670" t="s">
        <v>121</v>
      </c>
      <c r="E642" s="671" t="s">
        <v>122</v>
      </c>
      <c r="F642" s="109" t="s">
        <v>123</v>
      </c>
      <c r="I642" s="82"/>
    </row>
    <row r="643" spans="1:9" x14ac:dyDescent="0.2">
      <c r="A643" s="1081" t="s">
        <v>22</v>
      </c>
      <c r="B643" s="1082"/>
      <c r="C643" s="456">
        <f>SUM(C644:C646)</f>
        <v>29203.05</v>
      </c>
      <c r="D643" s="457">
        <f>SUM(D644:D646)</f>
        <v>202149.02999999997</v>
      </c>
      <c r="E643" s="458">
        <f>SUM(E644:E646)</f>
        <v>252036.88</v>
      </c>
      <c r="F643" s="433">
        <f>SUM(F644:F646)</f>
        <v>0</v>
      </c>
    </row>
    <row r="644" spans="1:9" x14ac:dyDescent="0.2">
      <c r="A644" s="1083" t="s">
        <v>601</v>
      </c>
      <c r="B644" s="882"/>
      <c r="C644" s="485">
        <v>0</v>
      </c>
      <c r="D644" s="459">
        <f>0.61+133846.27</f>
        <v>133846.87999999998</v>
      </c>
      <c r="E644" s="474">
        <v>120415.71</v>
      </c>
      <c r="F644" s="432">
        <f>SUM(F645:F647)</f>
        <v>0</v>
      </c>
      <c r="H644" s="121"/>
    </row>
    <row r="645" spans="1:9" x14ac:dyDescent="0.2">
      <c r="A645" s="1084" t="s">
        <v>602</v>
      </c>
      <c r="B645" s="878"/>
      <c r="C645" s="463">
        <f>29174.44+28.61</f>
        <v>29203.05</v>
      </c>
      <c r="D645" s="125">
        <f>46773.64+21528.51</f>
        <v>68302.149999999994</v>
      </c>
      <c r="E645" s="482">
        <v>118387.17000000001</v>
      </c>
      <c r="F645" s="49">
        <v>0</v>
      </c>
      <c r="G645" s="120"/>
    </row>
    <row r="646" spans="1:9" x14ac:dyDescent="0.2">
      <c r="A646" s="1084" t="s">
        <v>603</v>
      </c>
      <c r="B646" s="878"/>
      <c r="C646" s="481"/>
      <c r="D646" s="125"/>
      <c r="E646" s="482">
        <v>13234</v>
      </c>
      <c r="F646" s="49">
        <v>0</v>
      </c>
    </row>
    <row r="647" spans="1:9" x14ac:dyDescent="0.2">
      <c r="A647" s="1085" t="s">
        <v>43</v>
      </c>
      <c r="B647" s="1086"/>
      <c r="C647" s="481"/>
      <c r="D647" s="125"/>
      <c r="E647" s="482"/>
      <c r="F647" s="49"/>
    </row>
    <row r="648" spans="1:9" ht="13.5" thickBot="1" x14ac:dyDescent="0.25">
      <c r="A648" s="1087" t="s">
        <v>25</v>
      </c>
      <c r="B648" s="935"/>
      <c r="C648" s="460"/>
      <c r="D648" s="461"/>
      <c r="E648" s="462"/>
      <c r="F648" s="110"/>
    </row>
    <row r="649" spans="1:9" ht="13.5" thickBot="1" x14ac:dyDescent="0.25">
      <c r="A649" s="1088" t="s">
        <v>33</v>
      </c>
      <c r="B649" s="1089"/>
      <c r="C649" s="615">
        <f>C643+C647+C648</f>
        <v>29203.05</v>
      </c>
      <c r="D649" s="615">
        <f>D643+D647+D648</f>
        <v>202149.02999999997</v>
      </c>
      <c r="E649" s="615">
        <f>E643+E647+E648</f>
        <v>252036.88</v>
      </c>
      <c r="F649" s="64">
        <f>F643+F647+F648</f>
        <v>0</v>
      </c>
    </row>
    <row r="652" spans="1:9" ht="30" customHeight="1" x14ac:dyDescent="0.2">
      <c r="A652" s="1097" t="s">
        <v>375</v>
      </c>
      <c r="B652" s="1097"/>
      <c r="C652" s="1097"/>
      <c r="D652" s="1097"/>
      <c r="E652" s="1098"/>
      <c r="F652" s="1098"/>
    </row>
    <row r="654" spans="1:9" x14ac:dyDescent="0.2">
      <c r="A654" s="1090" t="s">
        <v>621</v>
      </c>
      <c r="B654" s="1090"/>
      <c r="C654" s="1090"/>
      <c r="D654" s="1090"/>
    </row>
    <row r="655" spans="1:9" ht="13.5" thickBot="1" x14ac:dyDescent="0.25"/>
    <row r="656" spans="1:9" ht="51.75" thickBot="1" x14ac:dyDescent="0.25">
      <c r="A656" s="840" t="s">
        <v>111</v>
      </c>
      <c r="B656" s="953"/>
      <c r="C656" s="62" t="s">
        <v>61</v>
      </c>
      <c r="D656" s="62" t="s">
        <v>420</v>
      </c>
    </row>
    <row r="657" spans="1:5" ht="13.5" thickBot="1" x14ac:dyDescent="0.25">
      <c r="A657" s="1091" t="s">
        <v>112</v>
      </c>
      <c r="B657" s="1092"/>
      <c r="C657" s="672">
        <v>303</v>
      </c>
      <c r="D657" s="672">
        <v>305</v>
      </c>
    </row>
    <row r="660" spans="1:5" x14ac:dyDescent="0.2">
      <c r="A660" s="650" t="s">
        <v>330</v>
      </c>
      <c r="B660" s="6"/>
      <c r="C660" s="6"/>
      <c r="D660" s="6"/>
      <c r="E660" s="6"/>
    </row>
    <row r="661" spans="1:5" ht="13.5" thickBot="1" x14ac:dyDescent="0.25">
      <c r="B661" s="630"/>
      <c r="C661" s="630"/>
    </row>
    <row r="662" spans="1:5" ht="51.75" thickBot="1" x14ac:dyDescent="0.25">
      <c r="A662" s="669" t="s">
        <v>28</v>
      </c>
      <c r="B662" s="670" t="s">
        <v>29</v>
      </c>
      <c r="C662" s="670" t="s">
        <v>106</v>
      </c>
      <c r="D662" s="545" t="s">
        <v>30</v>
      </c>
      <c r="E662" s="61" t="s">
        <v>31</v>
      </c>
    </row>
    <row r="663" spans="1:5" x14ac:dyDescent="0.2">
      <c r="A663" s="673" t="s">
        <v>124</v>
      </c>
      <c r="B663" s="634"/>
      <c r="C663" s="634"/>
      <c r="D663" s="674"/>
      <c r="E663" s="634"/>
    </row>
    <row r="664" spans="1:5" x14ac:dyDescent="0.2">
      <c r="A664" s="675" t="s">
        <v>125</v>
      </c>
      <c r="B664" s="556"/>
      <c r="C664" s="556"/>
      <c r="D664" s="555"/>
      <c r="E664" s="556"/>
    </row>
    <row r="665" spans="1:5" x14ac:dyDescent="0.2">
      <c r="A665" s="675" t="s">
        <v>126</v>
      </c>
      <c r="B665" s="556"/>
      <c r="C665" s="556"/>
      <c r="D665" s="555"/>
      <c r="E665" s="556"/>
    </row>
    <row r="666" spans="1:5" x14ac:dyDescent="0.2">
      <c r="A666" s="675" t="s">
        <v>127</v>
      </c>
      <c r="B666" s="556"/>
      <c r="C666" s="556"/>
      <c r="D666" s="555"/>
      <c r="E666" s="556"/>
    </row>
    <row r="667" spans="1:5" x14ac:dyDescent="0.2">
      <c r="A667" s="675" t="s">
        <v>129</v>
      </c>
      <c r="B667" s="556"/>
      <c r="C667" s="556"/>
      <c r="D667" s="555"/>
      <c r="E667" s="556"/>
    </row>
    <row r="668" spans="1:5" x14ac:dyDescent="0.2">
      <c r="A668" s="675" t="s">
        <v>138</v>
      </c>
      <c r="B668" s="556"/>
      <c r="C668" s="556"/>
      <c r="D668" s="555"/>
      <c r="E668" s="556"/>
    </row>
    <row r="669" spans="1:5" x14ac:dyDescent="0.2">
      <c r="A669" s="675" t="s">
        <v>139</v>
      </c>
      <c r="B669" s="556"/>
      <c r="C669" s="556"/>
      <c r="D669" s="555"/>
      <c r="E669" s="556"/>
    </row>
    <row r="670" spans="1:5" ht="13.5" thickBot="1" x14ac:dyDescent="0.25">
      <c r="A670" s="676" t="s">
        <v>114</v>
      </c>
      <c r="B670" s="677"/>
      <c r="C670" s="677"/>
      <c r="D670" s="678"/>
      <c r="E670" s="677"/>
    </row>
    <row r="673" spans="1:5" x14ac:dyDescent="0.2">
      <c r="A673" s="650" t="s">
        <v>331</v>
      </c>
      <c r="B673" s="111"/>
      <c r="C673" s="111"/>
      <c r="D673" s="111"/>
      <c r="E673" s="111"/>
    </row>
    <row r="674" spans="1:5" ht="13.5" thickBot="1" x14ac:dyDescent="0.25">
      <c r="B674" s="630"/>
      <c r="C674" s="630"/>
    </row>
    <row r="675" spans="1:5" ht="51.75" thickBot="1" x14ac:dyDescent="0.25">
      <c r="A675" s="669" t="s">
        <v>28</v>
      </c>
      <c r="B675" s="670" t="s">
        <v>29</v>
      </c>
      <c r="C675" s="670" t="s">
        <v>106</v>
      </c>
      <c r="D675" s="545" t="s">
        <v>107</v>
      </c>
      <c r="E675" s="61" t="s">
        <v>31</v>
      </c>
    </row>
    <row r="676" spans="1:5" x14ac:dyDescent="0.2">
      <c r="A676" s="673" t="s">
        <v>124</v>
      </c>
      <c r="B676" s="634"/>
      <c r="C676" s="634"/>
      <c r="D676" s="674"/>
      <c r="E676" s="634"/>
    </row>
    <row r="677" spans="1:5" x14ac:dyDescent="0.2">
      <c r="A677" s="675" t="s">
        <v>125</v>
      </c>
      <c r="B677" s="556"/>
      <c r="C677" s="556"/>
      <c r="D677" s="555"/>
      <c r="E677" s="556"/>
    </row>
    <row r="678" spans="1:5" x14ac:dyDescent="0.2">
      <c r="A678" s="675" t="s">
        <v>126</v>
      </c>
      <c r="B678" s="556"/>
      <c r="C678" s="556"/>
      <c r="D678" s="555"/>
      <c r="E678" s="556"/>
    </row>
    <row r="679" spans="1:5" x14ac:dyDescent="0.2">
      <c r="A679" s="675" t="s">
        <v>127</v>
      </c>
      <c r="B679" s="556"/>
      <c r="C679" s="556"/>
      <c r="D679" s="555"/>
      <c r="E679" s="556"/>
    </row>
    <row r="680" spans="1:5" x14ac:dyDescent="0.2">
      <c r="A680" s="675" t="s">
        <v>129</v>
      </c>
      <c r="B680" s="556"/>
      <c r="C680" s="556"/>
      <c r="D680" s="555"/>
      <c r="E680" s="556"/>
    </row>
    <row r="681" spans="1:5" x14ac:dyDescent="0.2">
      <c r="A681" s="675" t="s">
        <v>138</v>
      </c>
      <c r="B681" s="556"/>
      <c r="C681" s="556"/>
      <c r="D681" s="555"/>
      <c r="E681" s="556"/>
    </row>
    <row r="682" spans="1:5" x14ac:dyDescent="0.2">
      <c r="A682" s="675" t="s">
        <v>139</v>
      </c>
      <c r="B682" s="556"/>
      <c r="C682" s="556"/>
      <c r="D682" s="555"/>
      <c r="E682" s="556"/>
    </row>
    <row r="683" spans="1:5" ht="13.5" thickBot="1" x14ac:dyDescent="0.25">
      <c r="A683" s="676" t="s">
        <v>114</v>
      </c>
      <c r="B683" s="677"/>
      <c r="C683" s="677"/>
      <c r="D683" s="678"/>
      <c r="E683" s="677"/>
    </row>
    <row r="691" spans="1:7" x14ac:dyDescent="0.2">
      <c r="A691" s="679"/>
      <c r="B691" s="679"/>
      <c r="C691" s="1079"/>
      <c r="D691" s="1080"/>
      <c r="E691" s="679"/>
      <c r="F691" s="119"/>
    </row>
    <row r="692" spans="1:7" x14ac:dyDescent="0.2">
      <c r="A692" s="680" t="s">
        <v>336</v>
      </c>
      <c r="B692" s="680"/>
      <c r="C692" s="1079" t="s">
        <v>27</v>
      </c>
      <c r="D692" s="1080"/>
      <c r="E692" s="680"/>
      <c r="F692" s="1093" t="s">
        <v>333</v>
      </c>
      <c r="G692" s="1093"/>
    </row>
    <row r="693" spans="1:7" x14ac:dyDescent="0.2">
      <c r="A693" s="680" t="s">
        <v>334</v>
      </c>
      <c r="B693" s="1"/>
      <c r="C693" s="1080" t="s">
        <v>332</v>
      </c>
      <c r="D693" s="839"/>
      <c r="E693" s="680"/>
      <c r="F693" s="1093" t="s">
        <v>335</v>
      </c>
      <c r="G693" s="1093"/>
    </row>
  </sheetData>
  <mergeCells count="402">
    <mergeCell ref="F3:J3"/>
    <mergeCell ref="A575:D575"/>
    <mergeCell ref="A546:B546"/>
    <mergeCell ref="A562:D562"/>
    <mergeCell ref="A563:D563"/>
    <mergeCell ref="A566:D566"/>
    <mergeCell ref="A61:C61"/>
    <mergeCell ref="A556:B556"/>
    <mergeCell ref="A552:B552"/>
    <mergeCell ref="A66:C66"/>
    <mergeCell ref="A549:B549"/>
    <mergeCell ref="A550:B550"/>
    <mergeCell ref="A551:B551"/>
    <mergeCell ref="A565:D565"/>
    <mergeCell ref="A533:D533"/>
    <mergeCell ref="A538:D538"/>
    <mergeCell ref="A541:D541"/>
    <mergeCell ref="A564:D564"/>
    <mergeCell ref="A553:B553"/>
    <mergeCell ref="A535:D535"/>
    <mergeCell ref="A536:D536"/>
    <mergeCell ref="A539:D539"/>
    <mergeCell ref="A527:D527"/>
    <mergeCell ref="A518:D518"/>
    <mergeCell ref="C693:D693"/>
    <mergeCell ref="F693:G693"/>
    <mergeCell ref="A480:I480"/>
    <mergeCell ref="A495:C495"/>
    <mergeCell ref="D545:D546"/>
    <mergeCell ref="F692:G692"/>
    <mergeCell ref="A652:F652"/>
    <mergeCell ref="C641:F641"/>
    <mergeCell ref="A628:D628"/>
    <mergeCell ref="A632:D632"/>
    <mergeCell ref="A639:F639"/>
    <mergeCell ref="A584:D584"/>
    <mergeCell ref="A629:D629"/>
    <mergeCell ref="A630:D630"/>
    <mergeCell ref="A631:D631"/>
    <mergeCell ref="A626:D626"/>
    <mergeCell ref="A567:D567"/>
    <mergeCell ref="A571:D571"/>
    <mergeCell ref="A627:D627"/>
    <mergeCell ref="A622:D622"/>
    <mergeCell ref="A623:D623"/>
    <mergeCell ref="A641:B642"/>
    <mergeCell ref="A540:D540"/>
    <mergeCell ref="A543:D543"/>
    <mergeCell ref="C692:D692"/>
    <mergeCell ref="A643:B643"/>
    <mergeCell ref="A644:B644"/>
    <mergeCell ref="A645:B645"/>
    <mergeCell ref="A646:B646"/>
    <mergeCell ref="A647:B647"/>
    <mergeCell ref="A648:B648"/>
    <mergeCell ref="A649:B649"/>
    <mergeCell ref="C691:D691"/>
    <mergeCell ref="A656:B656"/>
    <mergeCell ref="A654:D654"/>
    <mergeCell ref="A657:B657"/>
    <mergeCell ref="A621:D621"/>
    <mergeCell ref="A624:D624"/>
    <mergeCell ref="A625:D625"/>
    <mergeCell ref="A605:D605"/>
    <mergeCell ref="A547:B547"/>
    <mergeCell ref="A548:B548"/>
    <mergeCell ref="A611:D611"/>
    <mergeCell ref="A608:D608"/>
    <mergeCell ref="A614:D614"/>
    <mergeCell ref="A615:D615"/>
    <mergeCell ref="A616:D616"/>
    <mergeCell ref="A587:D587"/>
    <mergeCell ref="A585:D585"/>
    <mergeCell ref="A590:D590"/>
    <mergeCell ref="A588:D588"/>
    <mergeCell ref="A604:D604"/>
    <mergeCell ref="A596:D596"/>
    <mergeCell ref="A597:D597"/>
    <mergeCell ref="A573:D573"/>
    <mergeCell ref="A592:D592"/>
    <mergeCell ref="A579:D579"/>
    <mergeCell ref="A594:D594"/>
    <mergeCell ref="A610:D610"/>
    <mergeCell ref="A595:D595"/>
    <mergeCell ref="A576:D576"/>
    <mergeCell ref="A591:D591"/>
    <mergeCell ref="A528:D528"/>
    <mergeCell ref="A529:D529"/>
    <mergeCell ref="A534:D534"/>
    <mergeCell ref="A530:D530"/>
    <mergeCell ref="A582:D582"/>
    <mergeCell ref="A569:D569"/>
    <mergeCell ref="A568:D568"/>
    <mergeCell ref="A586:D586"/>
    <mergeCell ref="A572:D572"/>
    <mergeCell ref="A531:D531"/>
    <mergeCell ref="A532:D532"/>
    <mergeCell ref="A545:B545"/>
    <mergeCell ref="C545:C546"/>
    <mergeCell ref="A537:D537"/>
    <mergeCell ref="A577:D577"/>
    <mergeCell ref="A578:D578"/>
    <mergeCell ref="A570:D570"/>
    <mergeCell ref="A574:D574"/>
    <mergeCell ref="A589:D589"/>
    <mergeCell ref="A519:D519"/>
    <mergeCell ref="A520:D520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0:D510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191:B191"/>
    <mergeCell ref="A313:B313"/>
    <mergeCell ref="A318:B318"/>
    <mergeCell ref="A205:B205"/>
    <mergeCell ref="A217:B217"/>
    <mergeCell ref="A212:B212"/>
    <mergeCell ref="A321:C321"/>
    <mergeCell ref="A185:G185"/>
    <mergeCell ref="A195:B195"/>
    <mergeCell ref="A188:B188"/>
    <mergeCell ref="A226:B226"/>
    <mergeCell ref="A324:C324"/>
    <mergeCell ref="A512:D512"/>
    <mergeCell ref="A513:D513"/>
    <mergeCell ref="A514:D514"/>
    <mergeCell ref="A511:D511"/>
    <mergeCell ref="A422:B422"/>
    <mergeCell ref="A199:B199"/>
    <mergeCell ref="C437:D437"/>
    <mergeCell ref="A507:D507"/>
    <mergeCell ref="A508:D508"/>
    <mergeCell ref="A509:D509"/>
    <mergeCell ref="A501:D501"/>
    <mergeCell ref="A502:D502"/>
    <mergeCell ref="A503:D503"/>
    <mergeCell ref="A497:D497"/>
    <mergeCell ref="A498:D498"/>
    <mergeCell ref="A499:D499"/>
    <mergeCell ref="A423:B423"/>
    <mergeCell ref="A209:B209"/>
    <mergeCell ref="A312:B312"/>
    <mergeCell ref="A162:B162"/>
    <mergeCell ref="A156:B156"/>
    <mergeCell ref="A120:C120"/>
    <mergeCell ref="A62:B62"/>
    <mergeCell ref="A133:B133"/>
    <mergeCell ref="A111:A112"/>
    <mergeCell ref="A134:B134"/>
    <mergeCell ref="A132:B132"/>
    <mergeCell ref="A127:C127"/>
    <mergeCell ref="A94:E94"/>
    <mergeCell ref="A101:D101"/>
    <mergeCell ref="A130:B130"/>
    <mergeCell ref="A129:B129"/>
    <mergeCell ref="A163:B163"/>
    <mergeCell ref="A135:B135"/>
    <mergeCell ref="D4:E4"/>
    <mergeCell ref="A6:I6"/>
    <mergeCell ref="C40:C42"/>
    <mergeCell ref="A43:C43"/>
    <mergeCell ref="A40:B42"/>
    <mergeCell ref="B7:G7"/>
    <mergeCell ref="A8:A9"/>
    <mergeCell ref="B8:B9"/>
    <mergeCell ref="C8:C9"/>
    <mergeCell ref="D8:D9"/>
    <mergeCell ref="E8:E9"/>
    <mergeCell ref="F8:F9"/>
    <mergeCell ref="G8:G9"/>
    <mergeCell ref="A5:I5"/>
    <mergeCell ref="H8:H9"/>
    <mergeCell ref="I8:I9"/>
    <mergeCell ref="A10:I10"/>
    <mergeCell ref="A20:I20"/>
    <mergeCell ref="A30:I30"/>
    <mergeCell ref="A35:I35"/>
    <mergeCell ref="A153:I153"/>
    <mergeCell ref="A155:B155"/>
    <mergeCell ref="A295:B295"/>
    <mergeCell ref="A316:B316"/>
    <mergeCell ref="A314:B314"/>
    <mergeCell ref="B175:D175"/>
    <mergeCell ref="A68:B68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A173:D174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223:B223"/>
    <mergeCell ref="A214:B214"/>
    <mergeCell ref="A215:B215"/>
    <mergeCell ref="A216:B216"/>
    <mergeCell ref="A213:B213"/>
    <mergeCell ref="A299:B299"/>
    <mergeCell ref="A309:B309"/>
    <mergeCell ref="A286:D286"/>
    <mergeCell ref="A283:B283"/>
    <mergeCell ref="A218:B218"/>
    <mergeCell ref="A227:B227"/>
    <mergeCell ref="D252:E252"/>
    <mergeCell ref="B252:C252"/>
    <mergeCell ref="A276:B276"/>
    <mergeCell ref="A279:B279"/>
    <mergeCell ref="A221:E221"/>
    <mergeCell ref="A297:B297"/>
    <mergeCell ref="A298:B298"/>
    <mergeCell ref="A296:B296"/>
    <mergeCell ref="A231:B231"/>
    <mergeCell ref="A239:D239"/>
    <mergeCell ref="A232:B232"/>
    <mergeCell ref="A241:B241"/>
    <mergeCell ref="A233:B233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234:B234"/>
    <mergeCell ref="A250:E250"/>
    <mergeCell ref="A243:B243"/>
    <mergeCell ref="A235:B235"/>
    <mergeCell ref="A281:B281"/>
    <mergeCell ref="A282:B282"/>
    <mergeCell ref="A280:B280"/>
    <mergeCell ref="A358:B358"/>
    <mergeCell ref="A359:B359"/>
    <mergeCell ref="A339:B339"/>
    <mergeCell ref="A342:B342"/>
    <mergeCell ref="A335:B335"/>
    <mergeCell ref="A341:B341"/>
    <mergeCell ref="A338:B338"/>
    <mergeCell ref="A340:B340"/>
    <mergeCell ref="A336:B336"/>
    <mergeCell ref="A337:B337"/>
    <mergeCell ref="A288:B288"/>
    <mergeCell ref="A289:B289"/>
    <mergeCell ref="A290:B290"/>
    <mergeCell ref="A291:B291"/>
    <mergeCell ref="A292:B292"/>
    <mergeCell ref="A293:B293"/>
    <mergeCell ref="A294:B294"/>
    <mergeCell ref="A364:B364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500:D500"/>
    <mergeCell ref="A504:D504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444:B444"/>
    <mergeCell ref="A483:B483"/>
    <mergeCell ref="C483:D483"/>
    <mergeCell ref="A484:B484"/>
    <mergeCell ref="C484:D484"/>
    <mergeCell ref="A425:B425"/>
    <mergeCell ref="A482:E482"/>
    <mergeCell ref="A421:B421"/>
    <mergeCell ref="A415:C415"/>
    <mergeCell ref="A445:B445"/>
    <mergeCell ref="A446:B446"/>
    <mergeCell ref="A447:B447"/>
    <mergeCell ref="A448:B448"/>
    <mergeCell ref="A420:B420"/>
    <mergeCell ref="A426:B426"/>
    <mergeCell ref="A619:C619"/>
    <mergeCell ref="A607:D607"/>
    <mergeCell ref="A609:D609"/>
    <mergeCell ref="A428:B428"/>
    <mergeCell ref="A429:B429"/>
    <mergeCell ref="A424:B424"/>
    <mergeCell ref="A430:B430"/>
    <mergeCell ref="A555:B555"/>
    <mergeCell ref="A606:D606"/>
    <mergeCell ref="A612:D612"/>
    <mergeCell ref="A613:D613"/>
    <mergeCell ref="A593:D593"/>
    <mergeCell ref="A554:B554"/>
    <mergeCell ref="A598:D598"/>
    <mergeCell ref="A603:D603"/>
    <mergeCell ref="A557:B557"/>
    <mergeCell ref="A560:C560"/>
    <mergeCell ref="A505:D505"/>
    <mergeCell ref="A506:D506"/>
    <mergeCell ref="A443:B443"/>
    <mergeCell ref="A310:B310"/>
    <mergeCell ref="A311:B311"/>
    <mergeCell ref="A349:B349"/>
    <mergeCell ref="A236:B236"/>
    <mergeCell ref="A300:B300"/>
    <mergeCell ref="B262:E262"/>
    <mergeCell ref="B254:E254"/>
    <mergeCell ref="A332:B332"/>
    <mergeCell ref="A317:B317"/>
    <mergeCell ref="A244:B244"/>
    <mergeCell ref="A275:B275"/>
    <mergeCell ref="A284:B284"/>
    <mergeCell ref="A242:B242"/>
    <mergeCell ref="A277:B277"/>
    <mergeCell ref="A278:B278"/>
    <mergeCell ref="A301:B301"/>
    <mergeCell ref="A330:B330"/>
    <mergeCell ref="A331:B331"/>
    <mergeCell ref="A308:B308"/>
    <mergeCell ref="A285:B285"/>
    <mergeCell ref="A273:E273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90:I390"/>
    <mergeCell ref="A224:B224"/>
    <mergeCell ref="A229:B229"/>
    <mergeCell ref="A230:B230"/>
    <mergeCell ref="A228:B228"/>
    <mergeCell ref="A204:B204"/>
    <mergeCell ref="B179:D179"/>
    <mergeCell ref="B176:D176"/>
    <mergeCell ref="A180:D180"/>
    <mergeCell ref="A192:B192"/>
    <mergeCell ref="A193:B193"/>
    <mergeCell ref="A194:B194"/>
    <mergeCell ref="A197:B197"/>
    <mergeCell ref="A198:B198"/>
    <mergeCell ref="A187:B187"/>
    <mergeCell ref="B177:D177"/>
    <mergeCell ref="B178:D178"/>
    <mergeCell ref="A190:B190"/>
    <mergeCell ref="A201:B201"/>
    <mergeCell ref="A202:B202"/>
    <mergeCell ref="A203:B203"/>
    <mergeCell ref="A225:B225"/>
    <mergeCell ref="A208:B208"/>
    <mergeCell ref="A211:B211"/>
    <mergeCell ref="A210:B210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Dzielnicy Bemowo m.st. Warszawy
Informacja dodatkowa do sprawozdania finansowego za rok obrotowy zakończony 31 grudnia 2023r.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3" max="8" man="1"/>
    <brk id="541" max="16383" man="1"/>
    <brk id="559" max="16383" man="1"/>
    <brk id="580" max="16383" man="1"/>
    <brk id="599" max="16383" man="1"/>
    <brk id="637" max="16383" man="1"/>
    <brk id="671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32" type="noConversion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</vt:lpstr>
      <vt:lpstr>RZiS</vt:lpstr>
      <vt:lpstr>Fundusz</vt:lpstr>
      <vt:lpstr>Załącznik 21</vt:lpstr>
      <vt:lpstr>Bilans!Obszar_wydruku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Wyrębek Dorota</cp:lastModifiedBy>
  <cp:lastPrinted>2024-03-22T14:00:49Z</cp:lastPrinted>
  <dcterms:created xsi:type="dcterms:W3CDTF">2005-12-16T09:59:57Z</dcterms:created>
  <dcterms:modified xsi:type="dcterms:W3CDTF">2024-04-30T11:43:07Z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